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C:\Users\waqas\Downloads\"/>
    </mc:Choice>
  </mc:AlternateContent>
  <xr:revisionPtr revIDLastSave="0" documentId="8_{061B7443-0413-4955-B80C-58666EDE9735}" xr6:coauthVersionLast="47" xr6:coauthVersionMax="47" xr10:uidLastSave="{00000000-0000-0000-0000-000000000000}"/>
  <bookViews>
    <workbookView xWindow="-120" yWindow="-120" windowWidth="29040" windowHeight="15720" tabRatio="500" activeTab="3" xr2:uid="{00000000-000D-0000-FFFF-FFFF00000000}"/>
  </bookViews>
  <sheets>
    <sheet name="Sheet1" sheetId="1" r:id="rId1"/>
    <sheet name="Historicals" sheetId="2" r:id="rId2"/>
    <sheet name="Segmental forecast" sheetId="3" r:id="rId3"/>
    <sheet name="Three Statement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K50" i="4" l="1"/>
  <c r="L50" i="4" s="1"/>
  <c r="J50" i="4"/>
  <c r="K55" i="4"/>
  <c r="J55" i="4"/>
  <c r="J17" i="4"/>
  <c r="I19" i="4"/>
  <c r="H19" i="4"/>
  <c r="G19" i="4"/>
  <c r="F19" i="4"/>
  <c r="E19" i="4"/>
  <c r="D19" i="4"/>
  <c r="C19" i="4"/>
  <c r="B19" i="4"/>
  <c r="I18" i="4"/>
  <c r="H18" i="4"/>
  <c r="G18" i="4"/>
  <c r="F18" i="4"/>
  <c r="E18" i="4"/>
  <c r="D18" i="4"/>
  <c r="C18" i="4"/>
  <c r="B18" i="4"/>
  <c r="K59" i="4"/>
  <c r="L59" i="4" s="1"/>
  <c r="M59" i="4" s="1"/>
  <c r="N59" i="4" s="1"/>
  <c r="J59" i="4"/>
  <c r="N58" i="4"/>
  <c r="M58" i="4"/>
  <c r="L58" i="4"/>
  <c r="K58" i="4"/>
  <c r="J58" i="4"/>
  <c r="N53" i="4"/>
  <c r="M53" i="4"/>
  <c r="L53" i="4"/>
  <c r="K53" i="4"/>
  <c r="J53" i="4"/>
  <c r="N52" i="4"/>
  <c r="M52" i="4"/>
  <c r="L52" i="4"/>
  <c r="K52" i="4"/>
  <c r="J52" i="4"/>
  <c r="N51" i="4"/>
  <c r="M51" i="4"/>
  <c r="L51" i="4"/>
  <c r="K51" i="4"/>
  <c r="J51" i="4"/>
  <c r="N49" i="4"/>
  <c r="M49" i="4"/>
  <c r="L49" i="4"/>
  <c r="K49" i="4"/>
  <c r="J49" i="4"/>
  <c r="N48" i="4"/>
  <c r="M48" i="4"/>
  <c r="L48" i="4"/>
  <c r="K48" i="4"/>
  <c r="J48" i="4"/>
  <c r="L55" i="4" l="1"/>
  <c r="M50" i="4"/>
  <c r="N50" i="4" l="1"/>
  <c r="N55" i="4" s="1"/>
  <c r="M55" i="4"/>
  <c r="M42" i="4" l="1"/>
  <c r="N42" i="4" s="1"/>
  <c r="L42" i="4"/>
  <c r="K42" i="4"/>
  <c r="J42" i="4"/>
  <c r="K41" i="4"/>
  <c r="L41" i="4" s="1"/>
  <c r="M41" i="4" s="1"/>
  <c r="N41" i="4" s="1"/>
  <c r="J41" i="4"/>
  <c r="K38" i="4"/>
  <c r="L38" i="4" s="1"/>
  <c r="M38" i="4" s="1"/>
  <c r="N38" i="4" s="1"/>
  <c r="J38" i="4"/>
  <c r="K37" i="4"/>
  <c r="L37" i="4" s="1"/>
  <c r="M37" i="4" s="1"/>
  <c r="N37" i="4" s="1"/>
  <c r="J37" i="4"/>
  <c r="L36" i="4"/>
  <c r="M36" i="4" s="1"/>
  <c r="N36" i="4" s="1"/>
  <c r="K36" i="4"/>
  <c r="J36" i="4"/>
  <c r="K35" i="4"/>
  <c r="L35" i="4" s="1"/>
  <c r="M35" i="4" s="1"/>
  <c r="N35" i="4" s="1"/>
  <c r="J35" i="4"/>
  <c r="L34" i="4"/>
  <c r="M34" i="4" s="1"/>
  <c r="N34" i="4" s="1"/>
  <c r="K34" i="4"/>
  <c r="J34" i="4"/>
  <c r="K33" i="4"/>
  <c r="L33" i="4" s="1"/>
  <c r="M33" i="4" s="1"/>
  <c r="N33" i="4" s="1"/>
  <c r="J33" i="4"/>
  <c r="K30" i="4"/>
  <c r="L30" i="4" s="1"/>
  <c r="M30" i="4" s="1"/>
  <c r="N30" i="4" s="1"/>
  <c r="J30" i="4"/>
  <c r="K29" i="4"/>
  <c r="L29" i="4" s="1"/>
  <c r="M29" i="4" s="1"/>
  <c r="N29" i="4" s="1"/>
  <c r="J29" i="4"/>
  <c r="K28" i="4"/>
  <c r="L28" i="4" s="1"/>
  <c r="M28" i="4" s="1"/>
  <c r="N28" i="4" s="1"/>
  <c r="J28" i="4"/>
  <c r="K27" i="4"/>
  <c r="L27" i="4" s="1"/>
  <c r="M27" i="4" s="1"/>
  <c r="N27" i="4" s="1"/>
  <c r="J27" i="4"/>
  <c r="K26" i="4"/>
  <c r="L26" i="4" s="1"/>
  <c r="M26" i="4" s="1"/>
  <c r="N26" i="4" s="1"/>
  <c r="J26" i="4"/>
  <c r="L25" i="4"/>
  <c r="M25" i="4" s="1"/>
  <c r="N25" i="4" s="1"/>
  <c r="K25" i="4"/>
  <c r="J25" i="4"/>
  <c r="N23" i="4"/>
  <c r="M23" i="4"/>
  <c r="L23" i="4"/>
  <c r="K23" i="4"/>
  <c r="L22" i="4"/>
  <c r="M22" i="4" s="1"/>
  <c r="N22" i="4" s="1"/>
  <c r="K22" i="4"/>
  <c r="J22" i="4"/>
  <c r="N64" i="4"/>
  <c r="M64" i="4"/>
  <c r="L64" i="4"/>
  <c r="K64" i="4"/>
  <c r="I64" i="4"/>
  <c r="H64" i="4"/>
  <c r="G64" i="4"/>
  <c r="F64" i="4"/>
  <c r="E64" i="4"/>
  <c r="D64" i="4"/>
  <c r="C64" i="4"/>
  <c r="B64" i="4"/>
  <c r="N47" i="4"/>
  <c r="M47" i="4"/>
  <c r="L47" i="4"/>
  <c r="K47" i="4"/>
  <c r="J47" i="4"/>
  <c r="N46" i="4"/>
  <c r="M46" i="4"/>
  <c r="L46" i="4"/>
  <c r="K46" i="4"/>
  <c r="J46" i="4"/>
  <c r="I69" i="4"/>
  <c r="H69" i="4"/>
  <c r="G69" i="4"/>
  <c r="F69" i="4"/>
  <c r="E69" i="4"/>
  <c r="D69" i="4"/>
  <c r="C69" i="4"/>
  <c r="B69" i="4"/>
  <c r="G68" i="4"/>
  <c r="F68" i="4"/>
  <c r="F66" i="4" s="1"/>
  <c r="E68" i="4"/>
  <c r="D68" i="4"/>
  <c r="C68" i="4"/>
  <c r="B68" i="4"/>
  <c r="H67" i="4"/>
  <c r="G67" i="4"/>
  <c r="F67" i="4"/>
  <c r="E67" i="4"/>
  <c r="D67" i="4"/>
  <c r="D66" i="4" s="1"/>
  <c r="C67" i="4"/>
  <c r="B67" i="4"/>
  <c r="G66" i="4"/>
  <c r="I65" i="4"/>
  <c r="H65" i="4"/>
  <c r="G65" i="4"/>
  <c r="F65" i="4"/>
  <c r="E65" i="4"/>
  <c r="D65" i="4"/>
  <c r="C65" i="4"/>
  <c r="B65" i="4"/>
  <c r="I63" i="4"/>
  <c r="H63" i="4"/>
  <c r="G63" i="4"/>
  <c r="F63" i="4"/>
  <c r="E63" i="4"/>
  <c r="D63" i="4"/>
  <c r="C63" i="4"/>
  <c r="B63" i="4"/>
  <c r="K62" i="4"/>
  <c r="I62" i="4"/>
  <c r="J62" i="4" s="1"/>
  <c r="H62" i="4"/>
  <c r="G62" i="4"/>
  <c r="F62" i="4"/>
  <c r="E62" i="4"/>
  <c r="D62" i="4"/>
  <c r="C62" i="4"/>
  <c r="B62" i="4"/>
  <c r="I61" i="4"/>
  <c r="H61" i="4"/>
  <c r="G61" i="4"/>
  <c r="F61" i="4"/>
  <c r="E61" i="4"/>
  <c r="D61" i="4"/>
  <c r="C61" i="4"/>
  <c r="B61" i="4"/>
  <c r="H60" i="4"/>
  <c r="D60" i="4"/>
  <c r="C60" i="4"/>
  <c r="B60" i="4"/>
  <c r="I59" i="4"/>
  <c r="H59" i="4"/>
  <c r="G59" i="4"/>
  <c r="F59" i="4"/>
  <c r="E59" i="4"/>
  <c r="D59" i="4"/>
  <c r="E60" i="4" s="1"/>
  <c r="C59" i="4"/>
  <c r="B59" i="4"/>
  <c r="I57" i="4"/>
  <c r="E57" i="4"/>
  <c r="D57" i="4"/>
  <c r="I52" i="4"/>
  <c r="H52" i="4"/>
  <c r="G52" i="4"/>
  <c r="F52" i="4"/>
  <c r="E52" i="4"/>
  <c r="D52" i="4"/>
  <c r="C52" i="4"/>
  <c r="B52" i="4"/>
  <c r="I51" i="4"/>
  <c r="H51" i="4"/>
  <c r="G51" i="4"/>
  <c r="F51" i="4"/>
  <c r="E51" i="4"/>
  <c r="D51" i="4"/>
  <c r="C51" i="4"/>
  <c r="B51" i="4"/>
  <c r="I50" i="4"/>
  <c r="J10" i="4" s="1"/>
  <c r="H50" i="4"/>
  <c r="G50" i="4"/>
  <c r="F50" i="4"/>
  <c r="E50" i="4"/>
  <c r="D50" i="4"/>
  <c r="C50" i="4"/>
  <c r="B50" i="4"/>
  <c r="I48" i="4"/>
  <c r="H48" i="4"/>
  <c r="G48" i="4"/>
  <c r="F48" i="4"/>
  <c r="E48" i="4"/>
  <c r="D48" i="4"/>
  <c r="C48" i="4"/>
  <c r="B48" i="4"/>
  <c r="E43" i="4"/>
  <c r="E44" i="4" s="1"/>
  <c r="C43" i="4"/>
  <c r="I42" i="4"/>
  <c r="H42" i="4"/>
  <c r="G42" i="4"/>
  <c r="F42" i="4"/>
  <c r="E42" i="4"/>
  <c r="D42" i="4"/>
  <c r="C42" i="4"/>
  <c r="B42" i="4"/>
  <c r="I41" i="4"/>
  <c r="H41" i="4"/>
  <c r="G41" i="4"/>
  <c r="F41" i="4"/>
  <c r="E41" i="4"/>
  <c r="D41" i="4"/>
  <c r="C41" i="4"/>
  <c r="B41" i="4"/>
  <c r="I40" i="4"/>
  <c r="J40" i="4" s="1"/>
  <c r="K40" i="4" s="1"/>
  <c r="L40" i="4" s="1"/>
  <c r="M40" i="4" s="1"/>
  <c r="N40" i="4" s="1"/>
  <c r="H40" i="4"/>
  <c r="G40" i="4"/>
  <c r="F40" i="4"/>
  <c r="E40" i="4"/>
  <c r="D40" i="4"/>
  <c r="C40" i="4"/>
  <c r="B40" i="4"/>
  <c r="J39" i="4"/>
  <c r="I38" i="4"/>
  <c r="H38" i="4"/>
  <c r="G38" i="4"/>
  <c r="F38" i="4"/>
  <c r="E38" i="4"/>
  <c r="D38" i="4"/>
  <c r="C38" i="4"/>
  <c r="B38" i="4"/>
  <c r="I37" i="4"/>
  <c r="H37" i="4"/>
  <c r="G37" i="4"/>
  <c r="F37" i="4"/>
  <c r="E37" i="4"/>
  <c r="D37" i="4"/>
  <c r="C37" i="4"/>
  <c r="B37" i="4"/>
  <c r="O36" i="4"/>
  <c r="I36" i="4"/>
  <c r="H36" i="4"/>
  <c r="G36" i="4"/>
  <c r="F36" i="4"/>
  <c r="E36" i="4"/>
  <c r="D36" i="4"/>
  <c r="C36" i="4"/>
  <c r="B36" i="4"/>
  <c r="I35" i="4"/>
  <c r="H35" i="4"/>
  <c r="G35" i="4"/>
  <c r="F35" i="4"/>
  <c r="E35" i="4"/>
  <c r="D35" i="4"/>
  <c r="C35" i="4"/>
  <c r="B35" i="4"/>
  <c r="I34" i="4"/>
  <c r="H34" i="4"/>
  <c r="G34" i="4"/>
  <c r="F34" i="4"/>
  <c r="E34" i="4"/>
  <c r="D34" i="4"/>
  <c r="C34" i="4"/>
  <c r="B34" i="4"/>
  <c r="I33" i="4"/>
  <c r="H33" i="4"/>
  <c r="G33" i="4"/>
  <c r="F33" i="4"/>
  <c r="E33" i="4"/>
  <c r="D33" i="4"/>
  <c r="C33" i="4"/>
  <c r="B33" i="4"/>
  <c r="B43" i="4" s="1"/>
  <c r="C31" i="4"/>
  <c r="I30" i="4"/>
  <c r="H30" i="4"/>
  <c r="G30" i="4"/>
  <c r="F30" i="4"/>
  <c r="E30" i="4"/>
  <c r="D30" i="4"/>
  <c r="C30" i="4"/>
  <c r="B30" i="4"/>
  <c r="I29" i="4"/>
  <c r="H29" i="4"/>
  <c r="G29" i="4"/>
  <c r="F29" i="4"/>
  <c r="E29" i="4"/>
  <c r="D29" i="4"/>
  <c r="C29" i="4"/>
  <c r="B29" i="4"/>
  <c r="I28" i="4"/>
  <c r="H28" i="4"/>
  <c r="G28" i="4"/>
  <c r="F28" i="4"/>
  <c r="E28" i="4"/>
  <c r="D28" i="4"/>
  <c r="C28" i="4"/>
  <c r="B28" i="4"/>
  <c r="I27" i="4"/>
  <c r="H27" i="4"/>
  <c r="G27" i="4"/>
  <c r="F27" i="4"/>
  <c r="E27" i="4"/>
  <c r="D27" i="4"/>
  <c r="C27" i="4"/>
  <c r="B27" i="4"/>
  <c r="I26" i="4"/>
  <c r="H26" i="4"/>
  <c r="G26" i="4"/>
  <c r="F26" i="4"/>
  <c r="E26" i="4"/>
  <c r="D26" i="4"/>
  <c r="C26" i="4"/>
  <c r="B26" i="4"/>
  <c r="I25" i="4"/>
  <c r="H25" i="4"/>
  <c r="G25" i="4"/>
  <c r="F25" i="4"/>
  <c r="E25" i="4"/>
  <c r="D25" i="4"/>
  <c r="C25" i="4"/>
  <c r="B25" i="4"/>
  <c r="I23" i="4"/>
  <c r="H23" i="4"/>
  <c r="G23" i="4"/>
  <c r="F23" i="4"/>
  <c r="E23" i="4"/>
  <c r="D23" i="4"/>
  <c r="C23" i="4"/>
  <c r="B23" i="4"/>
  <c r="I22" i="4"/>
  <c r="H22" i="4"/>
  <c r="G22" i="4"/>
  <c r="G31" i="4" s="1"/>
  <c r="F22" i="4"/>
  <c r="E22" i="4"/>
  <c r="D22" i="4"/>
  <c r="C22" i="4"/>
  <c r="B22" i="4"/>
  <c r="I21" i="4"/>
  <c r="H21" i="4"/>
  <c r="G21" i="4"/>
  <c r="F21" i="4"/>
  <c r="F31" i="4" s="1"/>
  <c r="E21" i="4"/>
  <c r="E31" i="4" s="1"/>
  <c r="D21" i="4"/>
  <c r="C21" i="4"/>
  <c r="B21" i="4"/>
  <c r="I17" i="4"/>
  <c r="H17" i="4"/>
  <c r="G17" i="4"/>
  <c r="F17" i="4"/>
  <c r="E17" i="4"/>
  <c r="D17" i="4"/>
  <c r="C17" i="4"/>
  <c r="B17" i="4"/>
  <c r="I16" i="4"/>
  <c r="H16" i="4"/>
  <c r="G16" i="4"/>
  <c r="F16" i="4"/>
  <c r="E16" i="4"/>
  <c r="D16" i="4"/>
  <c r="C16" i="4"/>
  <c r="B16" i="4"/>
  <c r="I15" i="4"/>
  <c r="H15" i="4"/>
  <c r="G15" i="4"/>
  <c r="F15" i="4"/>
  <c r="E15" i="4"/>
  <c r="D15" i="4"/>
  <c r="C15" i="4"/>
  <c r="B15" i="4"/>
  <c r="J13" i="4"/>
  <c r="K13" i="4" s="1"/>
  <c r="L13" i="4" s="1"/>
  <c r="M13" i="4" s="1"/>
  <c r="N13" i="4" s="1"/>
  <c r="I12" i="4"/>
  <c r="H12" i="4"/>
  <c r="G12" i="4"/>
  <c r="F12" i="4"/>
  <c r="E12" i="4"/>
  <c r="D12" i="4"/>
  <c r="C12" i="4"/>
  <c r="B12" i="4"/>
  <c r="I10" i="4"/>
  <c r="H10" i="4"/>
  <c r="G10" i="4"/>
  <c r="F10" i="4"/>
  <c r="E10" i="4"/>
  <c r="D10" i="4"/>
  <c r="C10" i="4"/>
  <c r="B10" i="4"/>
  <c r="M1" i="4"/>
  <c r="N1" i="4" s="1"/>
  <c r="J1" i="4"/>
  <c r="K1" i="4" s="1"/>
  <c r="L1" i="4" s="1"/>
  <c r="H1" i="4"/>
  <c r="G1" i="4"/>
  <c r="F1" i="4" s="1"/>
  <c r="E1" i="4" s="1"/>
  <c r="D1" i="4" s="1"/>
  <c r="C1" i="4" s="1"/>
  <c r="B1" i="4" s="1"/>
  <c r="H212" i="3"/>
  <c r="E212" i="3"/>
  <c r="B211" i="3"/>
  <c r="J210" i="3"/>
  <c r="K210" i="3" s="1"/>
  <c r="I210" i="3"/>
  <c r="H210" i="3"/>
  <c r="G210" i="3"/>
  <c r="G212" i="3" s="1"/>
  <c r="F210" i="3"/>
  <c r="F212" i="3" s="1"/>
  <c r="E210" i="3"/>
  <c r="D210" i="3"/>
  <c r="C210" i="3"/>
  <c r="C211" i="3" s="1"/>
  <c r="B210" i="3"/>
  <c r="G209" i="3"/>
  <c r="E209" i="3"/>
  <c r="B209" i="3"/>
  <c r="C208" i="3"/>
  <c r="B208" i="3"/>
  <c r="K207" i="3"/>
  <c r="J207" i="3"/>
  <c r="E206" i="3"/>
  <c r="B205" i="3"/>
  <c r="J204" i="3"/>
  <c r="I204" i="3"/>
  <c r="H204" i="3"/>
  <c r="G204" i="3"/>
  <c r="F204" i="3"/>
  <c r="E204" i="3"/>
  <c r="D204" i="3"/>
  <c r="D206" i="3" s="1"/>
  <c r="C204" i="3"/>
  <c r="C206" i="3" s="1"/>
  <c r="B204" i="3"/>
  <c r="G203" i="3"/>
  <c r="E203" i="3"/>
  <c r="K201" i="3"/>
  <c r="J201" i="3"/>
  <c r="I201" i="3"/>
  <c r="H201" i="3"/>
  <c r="H203" i="3" s="1"/>
  <c r="G201" i="3"/>
  <c r="F201" i="3"/>
  <c r="E201" i="3"/>
  <c r="E198" i="3" s="1"/>
  <c r="E200" i="3" s="1"/>
  <c r="D201" i="3"/>
  <c r="C201" i="3"/>
  <c r="B201" i="3"/>
  <c r="B202" i="3" s="1"/>
  <c r="D200" i="3"/>
  <c r="I198" i="3"/>
  <c r="D198" i="3"/>
  <c r="C198" i="3"/>
  <c r="B198" i="3"/>
  <c r="I196" i="3"/>
  <c r="H196" i="3"/>
  <c r="H209" i="3" s="1"/>
  <c r="G196" i="3"/>
  <c r="F196" i="3"/>
  <c r="E196" i="3"/>
  <c r="D196" i="3"/>
  <c r="C196" i="3"/>
  <c r="C209" i="3" s="1"/>
  <c r="B196" i="3"/>
  <c r="G194" i="3"/>
  <c r="E194" i="3"/>
  <c r="B193" i="3"/>
  <c r="J192" i="3"/>
  <c r="K192" i="3" s="1"/>
  <c r="I192" i="3"/>
  <c r="H192" i="3"/>
  <c r="H194" i="3" s="1"/>
  <c r="G192" i="3"/>
  <c r="F192" i="3"/>
  <c r="F194" i="3" s="1"/>
  <c r="E192" i="3"/>
  <c r="D192" i="3"/>
  <c r="D194" i="3" s="1"/>
  <c r="C192" i="3"/>
  <c r="B192" i="3"/>
  <c r="H191" i="3"/>
  <c r="G191" i="3"/>
  <c r="F191" i="3"/>
  <c r="E191" i="3"/>
  <c r="C191" i="3"/>
  <c r="C190" i="3"/>
  <c r="B190" i="3"/>
  <c r="J189" i="3"/>
  <c r="H188" i="3"/>
  <c r="E188" i="3"/>
  <c r="D188" i="3"/>
  <c r="C187" i="3"/>
  <c r="B187" i="3"/>
  <c r="J186" i="3"/>
  <c r="I186" i="3"/>
  <c r="H186" i="3"/>
  <c r="G186" i="3"/>
  <c r="G188" i="3" s="1"/>
  <c r="F186" i="3"/>
  <c r="E186" i="3"/>
  <c r="D186" i="3"/>
  <c r="C186" i="3"/>
  <c r="C188" i="3" s="1"/>
  <c r="B186" i="3"/>
  <c r="G185" i="3"/>
  <c r="B185" i="3"/>
  <c r="H184" i="3"/>
  <c r="E184" i="3"/>
  <c r="B183" i="3"/>
  <c r="I182" i="3"/>
  <c r="H182" i="3"/>
  <c r="G182" i="3"/>
  <c r="F182" i="3"/>
  <c r="E182" i="3"/>
  <c r="E185" i="3" s="1"/>
  <c r="D182" i="3"/>
  <c r="C182" i="3"/>
  <c r="C179" i="3" s="1"/>
  <c r="B182" i="3"/>
  <c r="G181" i="3"/>
  <c r="B180" i="3"/>
  <c r="H179" i="3"/>
  <c r="H181" i="3" s="1"/>
  <c r="G179" i="3"/>
  <c r="E179" i="3"/>
  <c r="E181" i="3" s="1"/>
  <c r="D179" i="3"/>
  <c r="D181" i="3" s="1"/>
  <c r="B179" i="3"/>
  <c r="I178" i="3"/>
  <c r="I177" i="3"/>
  <c r="I194" i="3" s="1"/>
  <c r="H177" i="3"/>
  <c r="G177" i="3"/>
  <c r="G184" i="3" s="1"/>
  <c r="F177" i="3"/>
  <c r="E177" i="3"/>
  <c r="D177" i="3"/>
  <c r="D191" i="3" s="1"/>
  <c r="C177" i="3"/>
  <c r="B177" i="3"/>
  <c r="H175" i="3"/>
  <c r="B174" i="3"/>
  <c r="K173" i="3"/>
  <c r="L173" i="3" s="1"/>
  <c r="J173" i="3"/>
  <c r="I173" i="3"/>
  <c r="H173" i="3"/>
  <c r="G173" i="3"/>
  <c r="F173" i="3"/>
  <c r="F175" i="3" s="1"/>
  <c r="E173" i="3"/>
  <c r="D173" i="3"/>
  <c r="C173" i="3"/>
  <c r="C174" i="3" s="1"/>
  <c r="B173" i="3"/>
  <c r="C171" i="3"/>
  <c r="B171" i="3"/>
  <c r="J170" i="3"/>
  <c r="H169" i="3"/>
  <c r="B168" i="3"/>
  <c r="J167" i="3"/>
  <c r="I167" i="3"/>
  <c r="H167" i="3"/>
  <c r="G167" i="3"/>
  <c r="F167" i="3"/>
  <c r="E167" i="3"/>
  <c r="D167" i="3"/>
  <c r="C167" i="3"/>
  <c r="B167" i="3"/>
  <c r="I166" i="3"/>
  <c r="F166" i="3"/>
  <c r="E166" i="3"/>
  <c r="D166" i="3"/>
  <c r="K163" i="3"/>
  <c r="J163" i="3"/>
  <c r="I163" i="3"/>
  <c r="H163" i="3"/>
  <c r="G163" i="3"/>
  <c r="F163" i="3"/>
  <c r="E163" i="3"/>
  <c r="D163" i="3"/>
  <c r="C163" i="3"/>
  <c r="B163" i="3"/>
  <c r="H162" i="3"/>
  <c r="J160" i="3"/>
  <c r="K160" i="3" s="1"/>
  <c r="L160" i="3" s="1"/>
  <c r="I160" i="3"/>
  <c r="H160" i="3"/>
  <c r="G160" i="3"/>
  <c r="C160" i="3"/>
  <c r="N159" i="3"/>
  <c r="M159" i="3"/>
  <c r="L159" i="3"/>
  <c r="K159" i="3"/>
  <c r="J159" i="3"/>
  <c r="J156" i="3"/>
  <c r="K156" i="3" s="1"/>
  <c r="L156" i="3" s="1"/>
  <c r="M156" i="3" s="1"/>
  <c r="N156" i="3" s="1"/>
  <c r="I156" i="3"/>
  <c r="H156" i="3"/>
  <c r="G156" i="3"/>
  <c r="F156" i="3"/>
  <c r="F146" i="3" s="1"/>
  <c r="F172" i="3" s="1"/>
  <c r="E156" i="3"/>
  <c r="D156" i="3"/>
  <c r="C156" i="3"/>
  <c r="C157" i="3" s="1"/>
  <c r="B156" i="3"/>
  <c r="B157" i="3" s="1"/>
  <c r="N155" i="3"/>
  <c r="M155" i="3"/>
  <c r="L155" i="3"/>
  <c r="K155" i="3"/>
  <c r="J155" i="3"/>
  <c r="B153" i="3"/>
  <c r="I152" i="3"/>
  <c r="H152" i="3"/>
  <c r="H146" i="3" s="1"/>
  <c r="H172" i="3" s="1"/>
  <c r="G152" i="3"/>
  <c r="F152" i="3"/>
  <c r="E152" i="3"/>
  <c r="D152" i="3"/>
  <c r="C152" i="3"/>
  <c r="C153" i="3" s="1"/>
  <c r="B152" i="3"/>
  <c r="J151" i="3"/>
  <c r="J149" i="3"/>
  <c r="K148" i="3" s="1"/>
  <c r="G149" i="3"/>
  <c r="D149" i="3"/>
  <c r="D151" i="3" s="1"/>
  <c r="C149" i="3"/>
  <c r="J148" i="3"/>
  <c r="I148" i="3"/>
  <c r="I149" i="3" s="1"/>
  <c r="H148" i="3"/>
  <c r="H149" i="3" s="1"/>
  <c r="G148" i="3"/>
  <c r="F148" i="3"/>
  <c r="E148" i="3"/>
  <c r="D148" i="3"/>
  <c r="D146" i="3" s="1"/>
  <c r="D172" i="3" s="1"/>
  <c r="C148" i="3"/>
  <c r="B148" i="3"/>
  <c r="B149" i="3" s="1"/>
  <c r="B146" i="3"/>
  <c r="B143" i="3"/>
  <c r="I142" i="3"/>
  <c r="H142" i="3"/>
  <c r="G142" i="3"/>
  <c r="F142" i="3"/>
  <c r="E142" i="3"/>
  <c r="D142" i="3"/>
  <c r="D144" i="3" s="1"/>
  <c r="C142" i="3"/>
  <c r="B142" i="3"/>
  <c r="I141" i="3"/>
  <c r="I140" i="3"/>
  <c r="H140" i="3"/>
  <c r="G140" i="3"/>
  <c r="F140" i="3"/>
  <c r="E140" i="3"/>
  <c r="D140" i="3"/>
  <c r="C140" i="3"/>
  <c r="B140" i="3"/>
  <c r="J139" i="3"/>
  <c r="K139" i="3" s="1"/>
  <c r="I138" i="3"/>
  <c r="B137" i="3"/>
  <c r="I136" i="3"/>
  <c r="H136" i="3"/>
  <c r="G136" i="3"/>
  <c r="F136" i="3"/>
  <c r="E136" i="3"/>
  <c r="D136" i="3"/>
  <c r="D137" i="3" s="1"/>
  <c r="C136" i="3"/>
  <c r="C137" i="3" s="1"/>
  <c r="B136" i="3"/>
  <c r="I135" i="3"/>
  <c r="C135" i="3"/>
  <c r="C133" i="3"/>
  <c r="I132" i="3"/>
  <c r="J132" i="3" s="1"/>
  <c r="H132" i="3"/>
  <c r="H135" i="3" s="1"/>
  <c r="G132" i="3"/>
  <c r="F132" i="3"/>
  <c r="E132" i="3"/>
  <c r="D132" i="3"/>
  <c r="C132" i="3"/>
  <c r="B132" i="3"/>
  <c r="C129" i="3"/>
  <c r="B129" i="3"/>
  <c r="N128" i="3"/>
  <c r="M128" i="3"/>
  <c r="L128" i="3"/>
  <c r="K128" i="3"/>
  <c r="J128" i="3"/>
  <c r="H127" i="3"/>
  <c r="H128" i="3" s="1"/>
  <c r="I125" i="3"/>
  <c r="J125" i="3" s="1"/>
  <c r="K125" i="3" s="1"/>
  <c r="L125" i="3" s="1"/>
  <c r="M125" i="3" s="1"/>
  <c r="N125" i="3" s="1"/>
  <c r="H125" i="3"/>
  <c r="G125" i="3"/>
  <c r="F125" i="3"/>
  <c r="E125" i="3"/>
  <c r="D125" i="3"/>
  <c r="C125" i="3"/>
  <c r="C126" i="3" s="1"/>
  <c r="B125" i="3"/>
  <c r="B126" i="3" s="1"/>
  <c r="B128" i="3" s="1"/>
  <c r="N124" i="3"/>
  <c r="M124" i="3"/>
  <c r="L124" i="3"/>
  <c r="K124" i="3"/>
  <c r="J124" i="3"/>
  <c r="H123" i="3"/>
  <c r="H124" i="3" s="1"/>
  <c r="N121" i="3"/>
  <c r="I121" i="3"/>
  <c r="J121" i="3" s="1"/>
  <c r="K121" i="3" s="1"/>
  <c r="L121" i="3" s="1"/>
  <c r="M121" i="3" s="1"/>
  <c r="H121" i="3"/>
  <c r="H115" i="3" s="1"/>
  <c r="H141" i="3" s="1"/>
  <c r="G121" i="3"/>
  <c r="F121" i="3"/>
  <c r="E121" i="3"/>
  <c r="D121" i="3"/>
  <c r="C121" i="3"/>
  <c r="C122" i="3" s="1"/>
  <c r="C124" i="3" s="1"/>
  <c r="B121" i="3"/>
  <c r="I118" i="3"/>
  <c r="F118" i="3"/>
  <c r="C118" i="3"/>
  <c r="C120" i="3" s="1"/>
  <c r="B118" i="3"/>
  <c r="J117" i="3"/>
  <c r="I117" i="3"/>
  <c r="H117" i="3"/>
  <c r="G117" i="3"/>
  <c r="F117" i="3"/>
  <c r="E117" i="3"/>
  <c r="E118" i="3" s="1"/>
  <c r="D117" i="3"/>
  <c r="D115" i="3" s="1"/>
  <c r="D141" i="3" s="1"/>
  <c r="C117" i="3"/>
  <c r="B117" i="3"/>
  <c r="B116" i="3"/>
  <c r="I115" i="3"/>
  <c r="F115" i="3"/>
  <c r="F134" i="3" s="1"/>
  <c r="D113" i="3"/>
  <c r="I112" i="3"/>
  <c r="J111" i="3" s="1"/>
  <c r="I111" i="3"/>
  <c r="I113" i="3" s="1"/>
  <c r="H111" i="3"/>
  <c r="G111" i="3"/>
  <c r="F111" i="3"/>
  <c r="E111" i="3"/>
  <c r="D111" i="3"/>
  <c r="C111" i="3"/>
  <c r="B111" i="3"/>
  <c r="B112" i="3" s="1"/>
  <c r="F110" i="3"/>
  <c r="E110" i="3"/>
  <c r="D110" i="3"/>
  <c r="C110" i="3"/>
  <c r="B110" i="3"/>
  <c r="I109" i="3"/>
  <c r="H109" i="3"/>
  <c r="G109" i="3"/>
  <c r="F109" i="3"/>
  <c r="E109" i="3"/>
  <c r="D109" i="3"/>
  <c r="C109" i="3"/>
  <c r="B109" i="3"/>
  <c r="J108" i="3"/>
  <c r="D106" i="3"/>
  <c r="I105" i="3"/>
  <c r="H105" i="3"/>
  <c r="G105" i="3"/>
  <c r="F105" i="3"/>
  <c r="E105" i="3"/>
  <c r="E107" i="3" s="1"/>
  <c r="D105" i="3"/>
  <c r="D107" i="3" s="1"/>
  <c r="C105" i="3"/>
  <c r="B105" i="3"/>
  <c r="I104" i="3"/>
  <c r="E104" i="3"/>
  <c r="D104" i="3"/>
  <c r="C104" i="3"/>
  <c r="B104" i="3"/>
  <c r="C103" i="3"/>
  <c r="C102" i="3"/>
  <c r="I101" i="3"/>
  <c r="I102" i="3" s="1"/>
  <c r="H101" i="3"/>
  <c r="G101" i="3"/>
  <c r="F101" i="3"/>
  <c r="E101" i="3"/>
  <c r="D101" i="3"/>
  <c r="D102" i="3" s="1"/>
  <c r="C101" i="3"/>
  <c r="B101" i="3"/>
  <c r="C100" i="3"/>
  <c r="C98" i="3"/>
  <c r="K97" i="3"/>
  <c r="L97" i="3" s="1"/>
  <c r="M97" i="3" s="1"/>
  <c r="N97" i="3" s="1"/>
  <c r="J97" i="3"/>
  <c r="I94" i="3"/>
  <c r="G94" i="3"/>
  <c r="F94" i="3"/>
  <c r="E94" i="3"/>
  <c r="B94" i="3"/>
  <c r="B96" i="3" s="1"/>
  <c r="I93" i="3"/>
  <c r="H93" i="3"/>
  <c r="G93" i="3"/>
  <c r="H94" i="3" s="1"/>
  <c r="F93" i="3"/>
  <c r="E93" i="3"/>
  <c r="D93" i="3"/>
  <c r="D94" i="3" s="1"/>
  <c r="D96" i="3" s="1"/>
  <c r="C93" i="3"/>
  <c r="C94" i="3" s="1"/>
  <c r="C96" i="3" s="1"/>
  <c r="B93" i="3"/>
  <c r="I91" i="3"/>
  <c r="I90" i="3"/>
  <c r="I92" i="3" s="1"/>
  <c r="H90" i="3"/>
  <c r="H92" i="3" s="1"/>
  <c r="E90" i="3"/>
  <c r="D90" i="3"/>
  <c r="I89" i="3"/>
  <c r="J89" i="3" s="1"/>
  <c r="H89" i="3"/>
  <c r="G89" i="3"/>
  <c r="F89" i="3"/>
  <c r="F90" i="3" s="1"/>
  <c r="F92" i="3" s="1"/>
  <c r="E89" i="3"/>
  <c r="D89" i="3"/>
  <c r="C89" i="3"/>
  <c r="B89" i="3"/>
  <c r="B90" i="3" s="1"/>
  <c r="E87" i="3"/>
  <c r="E86" i="3"/>
  <c r="D86" i="3"/>
  <c r="I85" i="3"/>
  <c r="H85" i="3"/>
  <c r="H86" i="3" s="1"/>
  <c r="H88" i="3" s="1"/>
  <c r="G85" i="3"/>
  <c r="F85" i="3"/>
  <c r="E85" i="3"/>
  <c r="D85" i="3"/>
  <c r="C85" i="3"/>
  <c r="C86" i="3" s="1"/>
  <c r="B85" i="3"/>
  <c r="B86" i="3" s="1"/>
  <c r="G83" i="3"/>
  <c r="G110" i="3" s="1"/>
  <c r="F83" i="3"/>
  <c r="F113" i="3" s="1"/>
  <c r="E83" i="3"/>
  <c r="D83" i="3"/>
  <c r="C83" i="3"/>
  <c r="B83" i="3"/>
  <c r="I80" i="3"/>
  <c r="J79" i="3" s="1"/>
  <c r="E80" i="3"/>
  <c r="I79" i="3"/>
  <c r="H79" i="3"/>
  <c r="H80" i="3" s="1"/>
  <c r="G79" i="3"/>
  <c r="F79" i="3"/>
  <c r="E79" i="3"/>
  <c r="D79" i="3"/>
  <c r="C79" i="3"/>
  <c r="B79" i="3"/>
  <c r="D78" i="3"/>
  <c r="I77" i="3"/>
  <c r="H77" i="3"/>
  <c r="G77" i="3"/>
  <c r="F77" i="3"/>
  <c r="E77" i="3"/>
  <c r="D77" i="3"/>
  <c r="C77" i="3"/>
  <c r="B77" i="3"/>
  <c r="J76" i="3"/>
  <c r="D74" i="3"/>
  <c r="C74" i="3"/>
  <c r="B74" i="3"/>
  <c r="I73" i="3"/>
  <c r="H73" i="3"/>
  <c r="H74" i="3" s="1"/>
  <c r="G73" i="3"/>
  <c r="F73" i="3"/>
  <c r="E73" i="3"/>
  <c r="D73" i="3"/>
  <c r="E74" i="3" s="1"/>
  <c r="C73" i="3"/>
  <c r="B73" i="3"/>
  <c r="H72" i="3"/>
  <c r="G72" i="3"/>
  <c r="E72" i="3"/>
  <c r="D70" i="3"/>
  <c r="C70" i="3"/>
  <c r="B70" i="3"/>
  <c r="I69" i="3"/>
  <c r="H69" i="3"/>
  <c r="G69" i="3"/>
  <c r="F69" i="3"/>
  <c r="E69" i="3"/>
  <c r="D69" i="3"/>
  <c r="E70" i="3" s="1"/>
  <c r="C69" i="3"/>
  <c r="B69" i="3"/>
  <c r="E67" i="3"/>
  <c r="G66" i="3"/>
  <c r="F66" i="3"/>
  <c r="E66" i="3"/>
  <c r="D66" i="3"/>
  <c r="D68" i="3" s="1"/>
  <c r="I64" i="3"/>
  <c r="H64" i="3"/>
  <c r="G64" i="3"/>
  <c r="F64" i="3"/>
  <c r="E64" i="3"/>
  <c r="E65" i="3" s="1"/>
  <c r="H63" i="3"/>
  <c r="F63" i="3"/>
  <c r="E63" i="3"/>
  <c r="C63" i="3"/>
  <c r="J62" i="3"/>
  <c r="I62" i="3"/>
  <c r="H62" i="3"/>
  <c r="I63" i="3" s="1"/>
  <c r="I65" i="3" s="1"/>
  <c r="G62" i="3"/>
  <c r="F62" i="3"/>
  <c r="G63" i="3" s="1"/>
  <c r="G65" i="3" s="1"/>
  <c r="E62" i="3"/>
  <c r="D62" i="3"/>
  <c r="C62" i="3"/>
  <c r="D63" i="3" s="1"/>
  <c r="I59" i="3"/>
  <c r="F59" i="3"/>
  <c r="I58" i="3"/>
  <c r="H58" i="3"/>
  <c r="G58" i="3"/>
  <c r="F58" i="3"/>
  <c r="E58" i="3"/>
  <c r="E59" i="3" s="1"/>
  <c r="E61" i="3" s="1"/>
  <c r="D58" i="3"/>
  <c r="C58" i="3"/>
  <c r="E55" i="3"/>
  <c r="I54" i="3"/>
  <c r="H54" i="3"/>
  <c r="H52" i="3" s="1"/>
  <c r="H75" i="3" s="1"/>
  <c r="G54" i="3"/>
  <c r="F54" i="3"/>
  <c r="G55" i="3" s="1"/>
  <c r="G57" i="3" s="1"/>
  <c r="E54" i="3"/>
  <c r="D54" i="3"/>
  <c r="D55" i="3" s="1"/>
  <c r="C54" i="3"/>
  <c r="D52" i="3"/>
  <c r="A51" i="3"/>
  <c r="I48" i="3"/>
  <c r="H48" i="3"/>
  <c r="G48" i="3"/>
  <c r="F48" i="3"/>
  <c r="F50" i="3" s="1"/>
  <c r="E48" i="3"/>
  <c r="F49" i="3" s="1"/>
  <c r="D48" i="3"/>
  <c r="C48" i="3"/>
  <c r="B48" i="3"/>
  <c r="B49" i="3" s="1"/>
  <c r="E47" i="3"/>
  <c r="D47" i="3"/>
  <c r="D46" i="3"/>
  <c r="B46" i="3"/>
  <c r="I45" i="3"/>
  <c r="H45" i="3"/>
  <c r="I46" i="3" s="1"/>
  <c r="G45" i="3"/>
  <c r="F45" i="3"/>
  <c r="E45" i="3"/>
  <c r="E46" i="3" s="1"/>
  <c r="D45" i="3"/>
  <c r="C45" i="3"/>
  <c r="C46" i="3" s="1"/>
  <c r="B45" i="3"/>
  <c r="G44" i="3"/>
  <c r="F44" i="3"/>
  <c r="D44" i="3"/>
  <c r="I43" i="3"/>
  <c r="H43" i="3"/>
  <c r="E43" i="3"/>
  <c r="I42" i="3"/>
  <c r="H42" i="3"/>
  <c r="G42" i="3"/>
  <c r="F42" i="3"/>
  <c r="F43" i="3" s="1"/>
  <c r="E42" i="3"/>
  <c r="D42" i="3"/>
  <c r="D43" i="3" s="1"/>
  <c r="C42" i="3"/>
  <c r="B42" i="3"/>
  <c r="M41" i="3"/>
  <c r="L41" i="3"/>
  <c r="K41" i="3"/>
  <c r="J41" i="3"/>
  <c r="I41" i="3"/>
  <c r="H40" i="3"/>
  <c r="I39" i="3"/>
  <c r="D39" i="3"/>
  <c r="C39" i="3"/>
  <c r="B39" i="3"/>
  <c r="I38" i="3"/>
  <c r="H38" i="3"/>
  <c r="G38" i="3"/>
  <c r="G40" i="3" s="1"/>
  <c r="F38" i="3"/>
  <c r="E38" i="3"/>
  <c r="D38" i="3"/>
  <c r="C38" i="3"/>
  <c r="B38" i="3"/>
  <c r="B8" i="3" s="1"/>
  <c r="H36" i="3"/>
  <c r="I35" i="3"/>
  <c r="H35" i="3"/>
  <c r="G35" i="3"/>
  <c r="F35" i="3"/>
  <c r="E35" i="3"/>
  <c r="L34" i="3"/>
  <c r="M34" i="3" s="1"/>
  <c r="N34" i="3" s="1"/>
  <c r="N32" i="3" s="1"/>
  <c r="K34" i="3"/>
  <c r="E34" i="3"/>
  <c r="D34" i="3"/>
  <c r="C34" i="3"/>
  <c r="N33" i="3"/>
  <c r="L33" i="3"/>
  <c r="M33" i="3" s="1"/>
  <c r="M32" i="3" s="1"/>
  <c r="K33" i="3"/>
  <c r="E33" i="3"/>
  <c r="D33" i="3"/>
  <c r="C33" i="3"/>
  <c r="L32" i="3"/>
  <c r="K32" i="3"/>
  <c r="J32" i="3"/>
  <c r="G32" i="3"/>
  <c r="F32" i="3"/>
  <c r="E32" i="3"/>
  <c r="D32" i="3"/>
  <c r="B32" i="3"/>
  <c r="I31" i="3"/>
  <c r="I32" i="3" s="1"/>
  <c r="I34" i="3" s="1"/>
  <c r="H31" i="3"/>
  <c r="H32" i="3" s="1"/>
  <c r="G31" i="3"/>
  <c r="F31" i="3"/>
  <c r="E31" i="3"/>
  <c r="D31" i="3"/>
  <c r="C31" i="3"/>
  <c r="C32" i="3" s="1"/>
  <c r="B31" i="3"/>
  <c r="L30" i="3"/>
  <c r="M30" i="3" s="1"/>
  <c r="N30" i="3" s="1"/>
  <c r="K30" i="3"/>
  <c r="K29" i="3"/>
  <c r="K28" i="3" s="1"/>
  <c r="E29" i="3"/>
  <c r="C29" i="3"/>
  <c r="J28" i="3"/>
  <c r="G28" i="3"/>
  <c r="D28" i="3"/>
  <c r="B28" i="3"/>
  <c r="J27" i="3"/>
  <c r="K27" i="3" s="1"/>
  <c r="I27" i="3"/>
  <c r="I28" i="3" s="1"/>
  <c r="H27" i="3"/>
  <c r="H28" i="3" s="1"/>
  <c r="G27" i="3"/>
  <c r="F27" i="3"/>
  <c r="E27" i="3"/>
  <c r="E28" i="3" s="1"/>
  <c r="E30" i="3" s="1"/>
  <c r="D27" i="3"/>
  <c r="C27" i="3"/>
  <c r="C28" i="3" s="1"/>
  <c r="C30" i="3" s="1"/>
  <c r="B27" i="3"/>
  <c r="L26" i="3"/>
  <c r="M26" i="3" s="1"/>
  <c r="N26" i="3" s="1"/>
  <c r="K26" i="3"/>
  <c r="K25" i="3"/>
  <c r="I25" i="3"/>
  <c r="I26" i="3" s="1"/>
  <c r="H25" i="3"/>
  <c r="G25" i="3"/>
  <c r="E25" i="3"/>
  <c r="J24" i="3"/>
  <c r="I24" i="3"/>
  <c r="H24" i="3"/>
  <c r="H26" i="3" s="1"/>
  <c r="I23" i="3"/>
  <c r="J23" i="3" s="1"/>
  <c r="K23" i="3" s="1"/>
  <c r="H23" i="3"/>
  <c r="G23" i="3"/>
  <c r="G24" i="3" s="1"/>
  <c r="F23" i="3"/>
  <c r="E23" i="3"/>
  <c r="E24" i="3" s="1"/>
  <c r="E26" i="3" s="1"/>
  <c r="D23" i="3"/>
  <c r="C23" i="3"/>
  <c r="B23" i="3"/>
  <c r="B24" i="3" s="1"/>
  <c r="B26" i="3" s="1"/>
  <c r="G21" i="3"/>
  <c r="G22" i="3" s="1"/>
  <c r="F21" i="3"/>
  <c r="E21" i="3"/>
  <c r="D21" i="3"/>
  <c r="D3" i="3" s="1"/>
  <c r="C21" i="3"/>
  <c r="B21" i="3"/>
  <c r="A20" i="3"/>
  <c r="I17" i="3"/>
  <c r="B15" i="3"/>
  <c r="I14" i="3"/>
  <c r="H14" i="3"/>
  <c r="H15" i="3" s="1"/>
  <c r="G14" i="3"/>
  <c r="E14" i="3"/>
  <c r="E15" i="3" s="1"/>
  <c r="D14" i="3"/>
  <c r="C14" i="3"/>
  <c r="B14" i="3"/>
  <c r="H8" i="3"/>
  <c r="C8" i="3"/>
  <c r="J1" i="3"/>
  <c r="K1" i="3" s="1"/>
  <c r="L1" i="3" s="1"/>
  <c r="M1" i="3" s="1"/>
  <c r="N1" i="3" s="1"/>
  <c r="H1" i="3"/>
  <c r="G1" i="3"/>
  <c r="F1" i="3"/>
  <c r="E1" i="3" s="1"/>
  <c r="D1" i="3" s="1"/>
  <c r="C1" i="3" s="1"/>
  <c r="B1" i="3" s="1"/>
  <c r="B203" i="2"/>
  <c r="I202" i="2"/>
  <c r="I197" i="3" s="1"/>
  <c r="H202" i="2"/>
  <c r="H197" i="3" s="1"/>
  <c r="G202" i="2"/>
  <c r="G197" i="3" s="1"/>
  <c r="F202" i="2"/>
  <c r="F197" i="3" s="1"/>
  <c r="E202" i="2"/>
  <c r="E197" i="3" s="1"/>
  <c r="D202" i="2"/>
  <c r="D197" i="3" s="1"/>
  <c r="C202" i="2"/>
  <c r="C197" i="3" s="1"/>
  <c r="B202" i="2"/>
  <c r="B197" i="3" s="1"/>
  <c r="I201" i="2"/>
  <c r="H201" i="2"/>
  <c r="G201" i="2"/>
  <c r="F201" i="2"/>
  <c r="E201" i="2"/>
  <c r="D201" i="2"/>
  <c r="C201" i="2"/>
  <c r="B201" i="2"/>
  <c r="I200" i="2"/>
  <c r="I95" i="3" s="1"/>
  <c r="H200" i="2"/>
  <c r="H95" i="3" s="1"/>
  <c r="G200" i="2"/>
  <c r="G95" i="3" s="1"/>
  <c r="F200" i="2"/>
  <c r="F95" i="3" s="1"/>
  <c r="E200" i="2"/>
  <c r="E95" i="3" s="1"/>
  <c r="E96" i="3" s="1"/>
  <c r="D200" i="2"/>
  <c r="D95" i="3" s="1"/>
  <c r="C200" i="2"/>
  <c r="C95" i="3" s="1"/>
  <c r="B200" i="2"/>
  <c r="B95" i="3" s="1"/>
  <c r="I199" i="2"/>
  <c r="H199" i="2"/>
  <c r="H91" i="3" s="1"/>
  <c r="G199" i="2"/>
  <c r="G91" i="3" s="1"/>
  <c r="F199" i="2"/>
  <c r="F91" i="3" s="1"/>
  <c r="E199" i="2"/>
  <c r="E91" i="3" s="1"/>
  <c r="D199" i="2"/>
  <c r="D91" i="3" s="1"/>
  <c r="D92" i="3" s="1"/>
  <c r="C199" i="2"/>
  <c r="C91" i="3" s="1"/>
  <c r="B199" i="2"/>
  <c r="B91" i="3" s="1"/>
  <c r="B92" i="3" s="1"/>
  <c r="I198" i="2"/>
  <c r="I87" i="3" s="1"/>
  <c r="H198" i="2"/>
  <c r="H87" i="3" s="1"/>
  <c r="G198" i="2"/>
  <c r="G87" i="3" s="1"/>
  <c r="F198" i="2"/>
  <c r="F87" i="3" s="1"/>
  <c r="E198" i="2"/>
  <c r="D198" i="2"/>
  <c r="D87" i="3" s="1"/>
  <c r="C198" i="2"/>
  <c r="C87" i="3" s="1"/>
  <c r="B198" i="2"/>
  <c r="B87" i="3" s="1"/>
  <c r="B88" i="3" s="1"/>
  <c r="I197" i="2"/>
  <c r="I84" i="3" s="1"/>
  <c r="H197" i="2"/>
  <c r="H84" i="3" s="1"/>
  <c r="G197" i="2"/>
  <c r="G84" i="3" s="1"/>
  <c r="F197" i="2"/>
  <c r="F84" i="3" s="1"/>
  <c r="E197" i="2"/>
  <c r="E84" i="3" s="1"/>
  <c r="D197" i="2"/>
  <c r="D84" i="3" s="1"/>
  <c r="C197" i="2"/>
  <c r="C84" i="3" s="1"/>
  <c r="B197" i="2"/>
  <c r="B84" i="3" s="1"/>
  <c r="B196" i="2"/>
  <c r="I195" i="2"/>
  <c r="H195" i="2"/>
  <c r="H178" i="3" s="1"/>
  <c r="G195" i="2"/>
  <c r="G178" i="3" s="1"/>
  <c r="F195" i="2"/>
  <c r="F178" i="3" s="1"/>
  <c r="E195" i="2"/>
  <c r="E178" i="3" s="1"/>
  <c r="D195" i="2"/>
  <c r="D178" i="3" s="1"/>
  <c r="C195" i="2"/>
  <c r="C178" i="3" s="1"/>
  <c r="B195" i="2"/>
  <c r="B178" i="3" s="1"/>
  <c r="I194" i="2"/>
  <c r="I158" i="3" s="1"/>
  <c r="I159" i="3" s="1"/>
  <c r="H194" i="2"/>
  <c r="H158" i="3" s="1"/>
  <c r="H159" i="3" s="1"/>
  <c r="G194" i="2"/>
  <c r="G158" i="3" s="1"/>
  <c r="G159" i="3" s="1"/>
  <c r="F194" i="2"/>
  <c r="F158" i="3" s="1"/>
  <c r="F159" i="3" s="1"/>
  <c r="E194" i="2"/>
  <c r="E158" i="3" s="1"/>
  <c r="E159" i="3" s="1"/>
  <c r="D194" i="2"/>
  <c r="D158" i="3" s="1"/>
  <c r="D159" i="3" s="1"/>
  <c r="C194" i="2"/>
  <c r="C158" i="3" s="1"/>
  <c r="C159" i="3" s="1"/>
  <c r="B194" i="2"/>
  <c r="B158" i="3" s="1"/>
  <c r="I193" i="2"/>
  <c r="I154" i="3" s="1"/>
  <c r="I155" i="3" s="1"/>
  <c r="H193" i="2"/>
  <c r="H154" i="3" s="1"/>
  <c r="H155" i="3" s="1"/>
  <c r="G193" i="2"/>
  <c r="G154" i="3" s="1"/>
  <c r="G155" i="3" s="1"/>
  <c r="F193" i="2"/>
  <c r="F154" i="3" s="1"/>
  <c r="F155" i="3" s="1"/>
  <c r="E193" i="2"/>
  <c r="E154" i="3" s="1"/>
  <c r="E155" i="3" s="1"/>
  <c r="D193" i="2"/>
  <c r="D154" i="3" s="1"/>
  <c r="D155" i="3" s="1"/>
  <c r="C193" i="2"/>
  <c r="C154" i="3" s="1"/>
  <c r="B193" i="2"/>
  <c r="B154" i="3" s="1"/>
  <c r="I192" i="2"/>
  <c r="I150" i="3" s="1"/>
  <c r="I151" i="3" s="1"/>
  <c r="H192" i="2"/>
  <c r="H150" i="3" s="1"/>
  <c r="G192" i="2"/>
  <c r="G150" i="3" s="1"/>
  <c r="F192" i="2"/>
  <c r="F150" i="3" s="1"/>
  <c r="E192" i="2"/>
  <c r="E150" i="3" s="1"/>
  <c r="D192" i="2"/>
  <c r="D150" i="3" s="1"/>
  <c r="C192" i="2"/>
  <c r="C150" i="3" s="1"/>
  <c r="C151" i="3" s="1"/>
  <c r="B192" i="2"/>
  <c r="B150" i="3" s="1"/>
  <c r="B151" i="3" s="1"/>
  <c r="I191" i="2"/>
  <c r="I147" i="3" s="1"/>
  <c r="H191" i="2"/>
  <c r="H147" i="3" s="1"/>
  <c r="G191" i="2"/>
  <c r="G147" i="3" s="1"/>
  <c r="B191" i="2"/>
  <c r="B147" i="3" s="1"/>
  <c r="I190" i="2"/>
  <c r="I127" i="3" s="1"/>
  <c r="I128" i="3" s="1"/>
  <c r="H190" i="2"/>
  <c r="G190" i="2"/>
  <c r="G127" i="3" s="1"/>
  <c r="G128" i="3" s="1"/>
  <c r="F190" i="2"/>
  <c r="F127" i="3" s="1"/>
  <c r="F128" i="3" s="1"/>
  <c r="E190" i="2"/>
  <c r="E127" i="3" s="1"/>
  <c r="E128" i="3" s="1"/>
  <c r="D190" i="2"/>
  <c r="D127" i="3" s="1"/>
  <c r="D128" i="3" s="1"/>
  <c r="C190" i="2"/>
  <c r="C127" i="3" s="1"/>
  <c r="B190" i="2"/>
  <c r="B127" i="3" s="1"/>
  <c r="I189" i="2"/>
  <c r="I123" i="3" s="1"/>
  <c r="I124" i="3" s="1"/>
  <c r="H189" i="2"/>
  <c r="G189" i="2"/>
  <c r="G123" i="3" s="1"/>
  <c r="G124" i="3" s="1"/>
  <c r="F189" i="2"/>
  <c r="F123" i="3" s="1"/>
  <c r="F124" i="3" s="1"/>
  <c r="E189" i="2"/>
  <c r="E123" i="3" s="1"/>
  <c r="E124" i="3" s="1"/>
  <c r="D189" i="2"/>
  <c r="D123" i="3" s="1"/>
  <c r="D124" i="3" s="1"/>
  <c r="C189" i="2"/>
  <c r="C123" i="3" s="1"/>
  <c r="B189" i="2"/>
  <c r="B123" i="3" s="1"/>
  <c r="I188" i="2"/>
  <c r="I119" i="3" s="1"/>
  <c r="H188" i="2"/>
  <c r="H119" i="3" s="1"/>
  <c r="G188" i="2"/>
  <c r="G119" i="3" s="1"/>
  <c r="F188" i="2"/>
  <c r="F119" i="3" s="1"/>
  <c r="F120" i="3" s="1"/>
  <c r="E188" i="2"/>
  <c r="E119" i="3" s="1"/>
  <c r="D188" i="2"/>
  <c r="D119" i="3" s="1"/>
  <c r="C188" i="2"/>
  <c r="C119" i="3" s="1"/>
  <c r="B188" i="2"/>
  <c r="B119" i="3" s="1"/>
  <c r="G187" i="2"/>
  <c r="G116" i="3" s="1"/>
  <c r="F187" i="2"/>
  <c r="F116" i="3" s="1"/>
  <c r="E187" i="2"/>
  <c r="E116" i="3" s="1"/>
  <c r="D187" i="2"/>
  <c r="D116" i="3" s="1"/>
  <c r="C187" i="2"/>
  <c r="C116" i="3" s="1"/>
  <c r="B187" i="2"/>
  <c r="I186" i="2"/>
  <c r="H186" i="2"/>
  <c r="G186" i="2"/>
  <c r="F186" i="2"/>
  <c r="E186" i="2"/>
  <c r="D186" i="2"/>
  <c r="D64" i="3" s="1"/>
  <c r="C186" i="2"/>
  <c r="C64" i="3" s="1"/>
  <c r="B186" i="2"/>
  <c r="B64" i="3" s="1"/>
  <c r="I185" i="2"/>
  <c r="I60" i="3" s="1"/>
  <c r="H185" i="2"/>
  <c r="H60" i="3" s="1"/>
  <c r="G185" i="2"/>
  <c r="G60" i="3" s="1"/>
  <c r="F185" i="2"/>
  <c r="F60" i="3" s="1"/>
  <c r="E185" i="2"/>
  <c r="E60" i="3" s="1"/>
  <c r="D185" i="2"/>
  <c r="D60" i="3" s="1"/>
  <c r="B185" i="2"/>
  <c r="B60" i="3" s="1"/>
  <c r="I184" i="2"/>
  <c r="I56" i="3" s="1"/>
  <c r="H184" i="2"/>
  <c r="H56" i="3" s="1"/>
  <c r="G184" i="2"/>
  <c r="G56" i="3" s="1"/>
  <c r="F184" i="2"/>
  <c r="E184" i="2"/>
  <c r="E56" i="3" s="1"/>
  <c r="D184" i="2"/>
  <c r="C184" i="2"/>
  <c r="C56" i="3" s="1"/>
  <c r="B184" i="2"/>
  <c r="B183" i="2"/>
  <c r="B53" i="3" s="1"/>
  <c r="I182" i="2"/>
  <c r="I33" i="3" s="1"/>
  <c r="H182" i="2"/>
  <c r="H33" i="3" s="1"/>
  <c r="G182" i="2"/>
  <c r="G33" i="3" s="1"/>
  <c r="G34" i="3" s="1"/>
  <c r="F182" i="2"/>
  <c r="F33" i="3" s="1"/>
  <c r="F34" i="3" s="1"/>
  <c r="E182" i="2"/>
  <c r="D182" i="2"/>
  <c r="C182" i="2"/>
  <c r="B182" i="2"/>
  <c r="B33" i="3" s="1"/>
  <c r="I181" i="2"/>
  <c r="H181" i="2"/>
  <c r="G181" i="2"/>
  <c r="F181" i="2"/>
  <c r="E181" i="2"/>
  <c r="D181" i="2"/>
  <c r="C181" i="2"/>
  <c r="B181" i="2"/>
  <c r="I180" i="2"/>
  <c r="H180" i="2"/>
  <c r="G180" i="2"/>
  <c r="F180" i="2"/>
  <c r="F25" i="3" s="1"/>
  <c r="E180" i="2"/>
  <c r="D180" i="2"/>
  <c r="D25" i="3" s="1"/>
  <c r="C180" i="2"/>
  <c r="C25" i="3" s="1"/>
  <c r="B180" i="2"/>
  <c r="B25" i="3" s="1"/>
  <c r="H179" i="2"/>
  <c r="G179" i="2"/>
  <c r="F179" i="2"/>
  <c r="E179" i="2"/>
  <c r="D179" i="2"/>
  <c r="C179" i="2"/>
  <c r="B179" i="2"/>
  <c r="G176" i="2"/>
  <c r="F176" i="2"/>
  <c r="E176" i="2"/>
  <c r="D176" i="2"/>
  <c r="F175" i="2"/>
  <c r="D175" i="2"/>
  <c r="C175" i="2"/>
  <c r="C176" i="2" s="1"/>
  <c r="B175" i="2"/>
  <c r="B176" i="2" s="1"/>
  <c r="I172" i="2"/>
  <c r="I175" i="2" s="1"/>
  <c r="I176" i="2" s="1"/>
  <c r="H172" i="2"/>
  <c r="H175" i="2" s="1"/>
  <c r="H176" i="2" s="1"/>
  <c r="G172" i="2"/>
  <c r="G175" i="2" s="1"/>
  <c r="F172" i="2"/>
  <c r="E172" i="2"/>
  <c r="E175" i="2" s="1"/>
  <c r="D172" i="2"/>
  <c r="C172" i="2"/>
  <c r="B172" i="2"/>
  <c r="I163" i="2"/>
  <c r="I164" i="2" s="1"/>
  <c r="I165" i="2" s="1"/>
  <c r="H163" i="2"/>
  <c r="B163" i="2"/>
  <c r="B164" i="2" s="1"/>
  <c r="B165" i="2" s="1"/>
  <c r="I161" i="2"/>
  <c r="H161" i="2"/>
  <c r="H164" i="2" s="1"/>
  <c r="H165" i="2" s="1"/>
  <c r="G161" i="2"/>
  <c r="F161" i="2"/>
  <c r="F163" i="2" s="1"/>
  <c r="E161" i="2"/>
  <c r="D161" i="2"/>
  <c r="C161" i="2"/>
  <c r="C163" i="2" s="1"/>
  <c r="B161" i="2"/>
  <c r="F154" i="2"/>
  <c r="I153" i="2"/>
  <c r="I154" i="2" s="1"/>
  <c r="H153" i="2"/>
  <c r="H154" i="2" s="1"/>
  <c r="G153" i="2"/>
  <c r="G154" i="2" s="1"/>
  <c r="B153" i="2"/>
  <c r="B154" i="2" s="1"/>
  <c r="I150" i="2"/>
  <c r="H150" i="2"/>
  <c r="G150" i="2"/>
  <c r="F150" i="2"/>
  <c r="F153" i="2" s="1"/>
  <c r="E150" i="2"/>
  <c r="E153" i="2" s="1"/>
  <c r="E154" i="2" s="1"/>
  <c r="D150" i="2"/>
  <c r="D153" i="2" s="1"/>
  <c r="D154" i="2" s="1"/>
  <c r="C150" i="2"/>
  <c r="C153" i="2" s="1"/>
  <c r="C154" i="2" s="1"/>
  <c r="B150" i="2"/>
  <c r="I142" i="2"/>
  <c r="H142" i="2"/>
  <c r="G142" i="2"/>
  <c r="B142" i="2"/>
  <c r="I139" i="2"/>
  <c r="H139" i="2"/>
  <c r="G139" i="2"/>
  <c r="F139" i="2"/>
  <c r="F142" i="2" s="1"/>
  <c r="E139" i="2"/>
  <c r="E142" i="2" s="1"/>
  <c r="D139" i="2"/>
  <c r="D142" i="2" s="1"/>
  <c r="C139" i="2"/>
  <c r="C142" i="2" s="1"/>
  <c r="B139" i="2"/>
  <c r="E132" i="2"/>
  <c r="I125" i="2"/>
  <c r="I83" i="3" s="1"/>
  <c r="H125" i="2"/>
  <c r="H83" i="3" s="1"/>
  <c r="G124" i="2"/>
  <c r="G131" i="2" s="1"/>
  <c r="F124" i="2"/>
  <c r="F131" i="2" s="1"/>
  <c r="E124" i="2"/>
  <c r="E131" i="2" s="1"/>
  <c r="D124" i="2"/>
  <c r="D131" i="2" s="1"/>
  <c r="I119" i="2"/>
  <c r="H119" i="2"/>
  <c r="G119" i="2"/>
  <c r="F119" i="2"/>
  <c r="E119" i="2"/>
  <c r="F191" i="2" s="1"/>
  <c r="F147" i="3" s="1"/>
  <c r="D119" i="2"/>
  <c r="C119" i="2"/>
  <c r="B119" i="2"/>
  <c r="I115" i="2"/>
  <c r="H115" i="2"/>
  <c r="H187" i="2" s="1"/>
  <c r="H116" i="3" s="1"/>
  <c r="B114" i="2"/>
  <c r="B62" i="3" s="1"/>
  <c r="B63" i="3" s="1"/>
  <c r="B65" i="3" s="1"/>
  <c r="B113" i="2"/>
  <c r="B58" i="3" s="1"/>
  <c r="B59" i="3" s="1"/>
  <c r="B61" i="3" s="1"/>
  <c r="B112" i="2"/>
  <c r="B54" i="3" s="1"/>
  <c r="C55" i="3" s="1"/>
  <c r="C57" i="3" s="1"/>
  <c r="I111" i="2"/>
  <c r="H111" i="2"/>
  <c r="G111" i="2"/>
  <c r="G183" i="2" s="1"/>
  <c r="G53" i="3" s="1"/>
  <c r="F111" i="2"/>
  <c r="E111" i="2"/>
  <c r="D111" i="2"/>
  <c r="C111" i="2"/>
  <c r="C124" i="2" s="1"/>
  <c r="C131" i="2" s="1"/>
  <c r="B111" i="2"/>
  <c r="I107" i="2"/>
  <c r="I179" i="2" s="1"/>
  <c r="H107" i="2"/>
  <c r="H21" i="3" s="1"/>
  <c r="H22" i="3" s="1"/>
  <c r="G97" i="2"/>
  <c r="F97" i="2"/>
  <c r="E97" i="2"/>
  <c r="D97" i="2"/>
  <c r="C97" i="2"/>
  <c r="B97" i="2"/>
  <c r="B94" i="2"/>
  <c r="I92" i="2"/>
  <c r="H92" i="2"/>
  <c r="G92" i="2"/>
  <c r="F92" i="2"/>
  <c r="E92" i="2"/>
  <c r="D92" i="2"/>
  <c r="C92" i="2"/>
  <c r="B92" i="2"/>
  <c r="I83" i="2"/>
  <c r="I58" i="4" s="1"/>
  <c r="H83" i="2"/>
  <c r="H58" i="4" s="1"/>
  <c r="G83" i="2"/>
  <c r="G58" i="4" s="1"/>
  <c r="F83" i="2"/>
  <c r="F58" i="4" s="1"/>
  <c r="E83" i="2"/>
  <c r="E58" i="4" s="1"/>
  <c r="D83" i="2"/>
  <c r="D58" i="4" s="1"/>
  <c r="C83" i="2"/>
  <c r="C58" i="4" s="1"/>
  <c r="B83" i="2"/>
  <c r="B58" i="4" s="1"/>
  <c r="G76" i="2"/>
  <c r="G55" i="4" s="1"/>
  <c r="G53" i="4" s="1"/>
  <c r="F76" i="2"/>
  <c r="F55" i="4" s="1"/>
  <c r="F53" i="4" s="1"/>
  <c r="E76" i="2"/>
  <c r="E55" i="4" s="1"/>
  <c r="E53" i="4" s="1"/>
  <c r="D76" i="2"/>
  <c r="D55" i="4" s="1"/>
  <c r="D53" i="4" s="1"/>
  <c r="C76" i="2"/>
  <c r="C55" i="4" s="1"/>
  <c r="C53" i="4" s="1"/>
  <c r="B76" i="2"/>
  <c r="B55" i="4" s="1"/>
  <c r="B53" i="4" s="1"/>
  <c r="I60" i="2"/>
  <c r="F59" i="2"/>
  <c r="F60" i="2" s="1"/>
  <c r="E59" i="2"/>
  <c r="E60" i="2" s="1"/>
  <c r="D59" i="2"/>
  <c r="I58" i="2"/>
  <c r="H58" i="2"/>
  <c r="G58" i="2"/>
  <c r="G59" i="2" s="1"/>
  <c r="G60" i="2" s="1"/>
  <c r="F58" i="2"/>
  <c r="E58" i="2"/>
  <c r="D58" i="2"/>
  <c r="C58" i="2"/>
  <c r="B58" i="2"/>
  <c r="B59" i="2" s="1"/>
  <c r="B60" i="2" s="1"/>
  <c r="I45" i="2"/>
  <c r="I59" i="2" s="1"/>
  <c r="H45" i="2"/>
  <c r="H59" i="2" s="1"/>
  <c r="H60" i="2" s="1"/>
  <c r="G45" i="2"/>
  <c r="F45" i="2"/>
  <c r="E45" i="2"/>
  <c r="D45" i="2"/>
  <c r="C45" i="2"/>
  <c r="C59" i="2" s="1"/>
  <c r="C60" i="2" s="1"/>
  <c r="B45" i="2"/>
  <c r="I36" i="2"/>
  <c r="H36" i="2"/>
  <c r="F36" i="2"/>
  <c r="E36" i="2"/>
  <c r="D36" i="2"/>
  <c r="C36" i="2"/>
  <c r="I30" i="2"/>
  <c r="H30" i="2"/>
  <c r="G30" i="2"/>
  <c r="G36" i="2" s="1"/>
  <c r="F30" i="2"/>
  <c r="E30" i="2"/>
  <c r="D30" i="2"/>
  <c r="C30" i="2"/>
  <c r="B30" i="2"/>
  <c r="B36" i="2" s="1"/>
  <c r="E12" i="2"/>
  <c r="I7" i="2"/>
  <c r="H7" i="2"/>
  <c r="G7" i="2"/>
  <c r="F7" i="2"/>
  <c r="E7" i="2"/>
  <c r="D7" i="2"/>
  <c r="C7" i="2"/>
  <c r="B7" i="2"/>
  <c r="I4" i="2"/>
  <c r="H4" i="2"/>
  <c r="G4" i="2"/>
  <c r="G10" i="2" s="1"/>
  <c r="G12" i="2" s="1"/>
  <c r="F4" i="2"/>
  <c r="E4" i="2"/>
  <c r="E10" i="2" s="1"/>
  <c r="D4" i="2"/>
  <c r="D10" i="2" s="1"/>
  <c r="D12" i="2" s="1"/>
  <c r="C4" i="2"/>
  <c r="C10" i="2" s="1"/>
  <c r="B4" i="2"/>
  <c r="B10" i="2" s="1"/>
  <c r="G2" i="2"/>
  <c r="E2" i="2"/>
  <c r="H1" i="2"/>
  <c r="G1" i="2" s="1"/>
  <c r="F1" i="2" s="1"/>
  <c r="E1" i="2" s="1"/>
  <c r="D1" i="2" s="1"/>
  <c r="C1" i="2" s="1"/>
  <c r="B1" i="2" s="1"/>
  <c r="B6" i="4" l="1"/>
  <c r="B47" i="4"/>
  <c r="B9" i="3"/>
  <c r="G14" i="4"/>
  <c r="G20" i="2"/>
  <c r="I30" i="3"/>
  <c r="F203" i="2"/>
  <c r="F132" i="2"/>
  <c r="B12" i="2"/>
  <c r="B143" i="2"/>
  <c r="C12" i="2"/>
  <c r="C143" i="2"/>
  <c r="H30" i="3"/>
  <c r="G132" i="2"/>
  <c r="G203" i="2"/>
  <c r="D14" i="4"/>
  <c r="D20" i="2"/>
  <c r="G112" i="3"/>
  <c r="G113" i="3"/>
  <c r="E94" i="2"/>
  <c r="H71" i="3"/>
  <c r="F184" i="3"/>
  <c r="F185" i="3"/>
  <c r="I60" i="4"/>
  <c r="J15" i="4"/>
  <c r="K15" i="4" s="1"/>
  <c r="D60" i="2"/>
  <c r="B124" i="2"/>
  <c r="I187" i="2"/>
  <c r="I116" i="3" s="1"/>
  <c r="J115" i="3" s="1"/>
  <c r="D143" i="2"/>
  <c r="F196" i="2"/>
  <c r="G26" i="3"/>
  <c r="G29" i="3"/>
  <c r="G30" i="3" s="1"/>
  <c r="C40" i="3"/>
  <c r="C35" i="3"/>
  <c r="C41" i="3"/>
  <c r="G50" i="3"/>
  <c r="G17" i="3"/>
  <c r="G41" i="3"/>
  <c r="I70" i="3"/>
  <c r="J69" i="3" s="1"/>
  <c r="I66" i="3"/>
  <c r="I8" i="3"/>
  <c r="I72" i="3"/>
  <c r="G103" i="3"/>
  <c r="G102" i="3"/>
  <c r="G104" i="3"/>
  <c r="G8" i="3"/>
  <c r="B131" i="3"/>
  <c r="B130" i="3"/>
  <c r="E163" i="2"/>
  <c r="E164" i="2" s="1"/>
  <c r="E165" i="2" s="1"/>
  <c r="G96" i="3"/>
  <c r="E14" i="4"/>
  <c r="E20" i="2"/>
  <c r="E137" i="3"/>
  <c r="E203" i="2"/>
  <c r="D196" i="2"/>
  <c r="H78" i="3"/>
  <c r="H81" i="3"/>
  <c r="G129" i="3"/>
  <c r="G138" i="3"/>
  <c r="G137" i="3"/>
  <c r="B52" i="3"/>
  <c r="H34" i="3"/>
  <c r="D41" i="3"/>
  <c r="D40" i="3"/>
  <c r="D35" i="3"/>
  <c r="D8" i="3"/>
  <c r="B80" i="3"/>
  <c r="B81" i="3"/>
  <c r="C80" i="3"/>
  <c r="B17" i="3"/>
  <c r="H96" i="3"/>
  <c r="J118" i="3"/>
  <c r="J120" i="3" s="1"/>
  <c r="C130" i="3"/>
  <c r="I47" i="3"/>
  <c r="J47" i="3" s="1"/>
  <c r="K47" i="3" s="1"/>
  <c r="L47" i="3" s="1"/>
  <c r="M47" i="3" s="1"/>
  <c r="N47" i="3" s="1"/>
  <c r="E103" i="3"/>
  <c r="E102" i="3"/>
  <c r="G90" i="3"/>
  <c r="G92" i="3" s="1"/>
  <c r="E129" i="3"/>
  <c r="C175" i="3"/>
  <c r="C166" i="3"/>
  <c r="C49" i="3"/>
  <c r="C50" i="3"/>
  <c r="C17" i="3"/>
  <c r="I96" i="3"/>
  <c r="J93" i="3"/>
  <c r="C47" i="3"/>
  <c r="G59" i="3"/>
  <c r="G61" i="3" s="1"/>
  <c r="G52" i="3"/>
  <c r="G81" i="3" s="1"/>
  <c r="F10" i="2"/>
  <c r="F12" i="2" s="1"/>
  <c r="I15" i="3"/>
  <c r="J14" i="3" s="1"/>
  <c r="E37" i="3"/>
  <c r="F183" i="2"/>
  <c r="F53" i="3" s="1"/>
  <c r="E183" i="2"/>
  <c r="E53" i="3" s="1"/>
  <c r="D191" i="2"/>
  <c r="D147" i="3" s="1"/>
  <c r="I110" i="3"/>
  <c r="I103" i="3"/>
  <c r="J83" i="3"/>
  <c r="J31" i="3"/>
  <c r="K31" i="3" s="1"/>
  <c r="L31" i="3" s="1"/>
  <c r="M31" i="3" s="1"/>
  <c r="N31" i="3" s="1"/>
  <c r="F36" i="3"/>
  <c r="F37" i="3"/>
  <c r="F41" i="3"/>
  <c r="F40" i="3"/>
  <c r="G39" i="3"/>
  <c r="F39" i="3"/>
  <c r="F8" i="3"/>
  <c r="E49" i="3"/>
  <c r="I55" i="3"/>
  <c r="I57" i="3" s="1"/>
  <c r="J58" i="3"/>
  <c r="G74" i="3"/>
  <c r="F74" i="3"/>
  <c r="D81" i="3"/>
  <c r="D80" i="3"/>
  <c r="F98" i="3"/>
  <c r="F107" i="3"/>
  <c r="F106" i="3"/>
  <c r="L148" i="3"/>
  <c r="K149" i="3"/>
  <c r="K151" i="3" s="1"/>
  <c r="L163" i="3"/>
  <c r="K166" i="3"/>
  <c r="G143" i="2"/>
  <c r="F56" i="3"/>
  <c r="F29" i="3"/>
  <c r="G46" i="3"/>
  <c r="G47" i="3"/>
  <c r="F67" i="3"/>
  <c r="D203" i="2"/>
  <c r="D132" i="2"/>
  <c r="H16" i="3"/>
  <c r="D49" i="3"/>
  <c r="D50" i="3"/>
  <c r="D17" i="3"/>
  <c r="G67" i="3"/>
  <c r="F137" i="3"/>
  <c r="F138" i="3"/>
  <c r="F129" i="3"/>
  <c r="F131" i="3" s="1"/>
  <c r="C44" i="3"/>
  <c r="B40" i="3"/>
  <c r="B41" i="3"/>
  <c r="J80" i="3"/>
  <c r="K79" i="3" s="1"/>
  <c r="E143" i="2"/>
  <c r="G163" i="2"/>
  <c r="G164" i="2" s="1"/>
  <c r="G165" i="2" s="1"/>
  <c r="G196" i="2"/>
  <c r="D65" i="3"/>
  <c r="C191" i="2"/>
  <c r="C147" i="3" s="1"/>
  <c r="E8" i="3"/>
  <c r="H55" i="3"/>
  <c r="H57" i="3" s="1"/>
  <c r="G36" i="3"/>
  <c r="G37" i="3"/>
  <c r="G5" i="3"/>
  <c r="G86" i="3"/>
  <c r="G88" i="3" s="1"/>
  <c r="F86" i="3"/>
  <c r="F88" i="3" s="1"/>
  <c r="G98" i="3"/>
  <c r="G107" i="3"/>
  <c r="G106" i="3"/>
  <c r="E135" i="3"/>
  <c r="C24" i="3"/>
  <c r="C26" i="3" s="1"/>
  <c r="D24" i="3"/>
  <c r="D26" i="3" s="1"/>
  <c r="N41" i="3"/>
  <c r="F55" i="3"/>
  <c r="F52" i="3"/>
  <c r="J63" i="3"/>
  <c r="J65" i="3" s="1"/>
  <c r="H46" i="3"/>
  <c r="H47" i="3"/>
  <c r="D3" i="4"/>
  <c r="D16" i="3"/>
  <c r="E50" i="3"/>
  <c r="E17" i="3"/>
  <c r="K111" i="3"/>
  <c r="J113" i="3"/>
  <c r="I21" i="3"/>
  <c r="I124" i="2"/>
  <c r="E196" i="2"/>
  <c r="F103" i="3"/>
  <c r="F102" i="3"/>
  <c r="F104" i="3"/>
  <c r="C132" i="2"/>
  <c r="C6" i="4"/>
  <c r="C47" i="4"/>
  <c r="C9" i="3"/>
  <c r="H113" i="3"/>
  <c r="H110" i="3"/>
  <c r="C183" i="2"/>
  <c r="C53" i="3" s="1"/>
  <c r="K24" i="3"/>
  <c r="L23" i="3" s="1"/>
  <c r="L25" i="3"/>
  <c r="H10" i="2"/>
  <c r="H12" i="2" s="1"/>
  <c r="I10" i="2"/>
  <c r="I12" i="2" s="1"/>
  <c r="C164" i="2"/>
  <c r="C165" i="2" s="1"/>
  <c r="D29" i="3"/>
  <c r="D56" i="3"/>
  <c r="D57" i="3" s="1"/>
  <c r="H3" i="3"/>
  <c r="C22" i="3"/>
  <c r="B30" i="3"/>
  <c r="G49" i="3"/>
  <c r="H59" i="3"/>
  <c r="H61" i="3" s="1"/>
  <c r="F80" i="3"/>
  <c r="H107" i="3"/>
  <c r="H106" i="3"/>
  <c r="H98" i="3"/>
  <c r="F144" i="3"/>
  <c r="F135" i="3"/>
  <c r="F14" i="3"/>
  <c r="F46" i="3"/>
  <c r="F47" i="3"/>
  <c r="C65" i="3"/>
  <c r="K89" i="3"/>
  <c r="J90" i="3"/>
  <c r="J92" i="3" s="1"/>
  <c r="H124" i="2"/>
  <c r="D183" i="2"/>
  <c r="D53" i="3" s="1"/>
  <c r="I183" i="2"/>
  <c r="I53" i="3" s="1"/>
  <c r="H183" i="2"/>
  <c r="H53" i="3" s="1"/>
  <c r="D163" i="2"/>
  <c r="D164" i="2"/>
  <c r="D165" i="2" s="1"/>
  <c r="F164" i="2"/>
  <c r="F165" i="2" s="1"/>
  <c r="F24" i="3"/>
  <c r="F26" i="3" s="1"/>
  <c r="I37" i="3"/>
  <c r="J37" i="3" s="1"/>
  <c r="K37" i="3" s="1"/>
  <c r="L37" i="3" s="1"/>
  <c r="M37" i="3" s="1"/>
  <c r="N37" i="3" s="1"/>
  <c r="I36" i="3"/>
  <c r="I61" i="3"/>
  <c r="I74" i="3"/>
  <c r="J73" i="3" s="1"/>
  <c r="F96" i="3"/>
  <c r="C115" i="3"/>
  <c r="C141" i="3" s="1"/>
  <c r="B122" i="3"/>
  <c r="B124" i="3" s="1"/>
  <c r="B115" i="3"/>
  <c r="K167" i="3"/>
  <c r="B22" i="3"/>
  <c r="B34" i="3"/>
  <c r="H37" i="3"/>
  <c r="E41" i="3"/>
  <c r="E40" i="3"/>
  <c r="E39" i="3"/>
  <c r="B35" i="3"/>
  <c r="B44" i="3"/>
  <c r="C43" i="3"/>
  <c r="B43" i="3"/>
  <c r="H44" i="3"/>
  <c r="I86" i="3"/>
  <c r="H102" i="3"/>
  <c r="H103" i="3"/>
  <c r="H104" i="3"/>
  <c r="I106" i="3"/>
  <c r="J105" i="3"/>
  <c r="I98" i="3"/>
  <c r="I107" i="3"/>
  <c r="B120" i="3"/>
  <c r="G144" i="3"/>
  <c r="G151" i="3"/>
  <c r="B166" i="3"/>
  <c r="B165" i="3"/>
  <c r="B160" i="3"/>
  <c r="B164" i="3"/>
  <c r="D165" i="3"/>
  <c r="B188" i="3"/>
  <c r="B184" i="3"/>
  <c r="B194" i="3"/>
  <c r="B181" i="3"/>
  <c r="C94" i="2"/>
  <c r="D22" i="3"/>
  <c r="D30" i="3"/>
  <c r="H29" i="3"/>
  <c r="G43" i="3"/>
  <c r="H50" i="3"/>
  <c r="I49" i="3"/>
  <c r="H49" i="3"/>
  <c r="C52" i="3"/>
  <c r="I52" i="3"/>
  <c r="B72" i="3"/>
  <c r="B66" i="3"/>
  <c r="B71" i="3"/>
  <c r="D118" i="3"/>
  <c r="D120" i="3" s="1"/>
  <c r="B155" i="3"/>
  <c r="B191" i="3"/>
  <c r="L210" i="3"/>
  <c r="D94" i="2"/>
  <c r="E22" i="3"/>
  <c r="F22" i="3"/>
  <c r="F28" i="3"/>
  <c r="F30" i="3" s="1"/>
  <c r="I29" i="3"/>
  <c r="H41" i="3"/>
  <c r="E44" i="3"/>
  <c r="I50" i="3"/>
  <c r="J50" i="3" s="1"/>
  <c r="B50" i="3"/>
  <c r="J54" i="3"/>
  <c r="H70" i="3"/>
  <c r="B135" i="3"/>
  <c r="B133" i="3"/>
  <c r="H134" i="3"/>
  <c r="E146" i="3"/>
  <c r="E172" i="3" s="1"/>
  <c r="E149" i="3"/>
  <c r="E151" i="3" s="1"/>
  <c r="I40" i="3"/>
  <c r="F65" i="3"/>
  <c r="I120" i="3"/>
  <c r="C128" i="3"/>
  <c r="F198" i="3"/>
  <c r="F200" i="3" s="1"/>
  <c r="F206" i="3"/>
  <c r="H6" i="4"/>
  <c r="H47" i="4"/>
  <c r="F94" i="2"/>
  <c r="C185" i="2"/>
  <c r="C60" i="3" s="1"/>
  <c r="C15" i="3"/>
  <c r="D15" i="3"/>
  <c r="L29" i="3"/>
  <c r="B47" i="3"/>
  <c r="B98" i="3"/>
  <c r="B107" i="3"/>
  <c r="C106" i="3"/>
  <c r="B106" i="3"/>
  <c r="C113" i="3"/>
  <c r="D112" i="3"/>
  <c r="C112" i="3"/>
  <c r="D129" i="3"/>
  <c r="D131" i="3" s="1"/>
  <c r="D135" i="3"/>
  <c r="D134" i="3"/>
  <c r="H144" i="3"/>
  <c r="C199" i="3"/>
  <c r="C200" i="3"/>
  <c r="G94" i="2"/>
  <c r="H10" i="3"/>
  <c r="F17" i="3"/>
  <c r="H65" i="3"/>
  <c r="F72" i="3"/>
  <c r="G70" i="3"/>
  <c r="F70" i="3"/>
  <c r="C88" i="3"/>
  <c r="B103" i="3"/>
  <c r="B102" i="3"/>
  <c r="E120" i="3"/>
  <c r="H138" i="3"/>
  <c r="C169" i="3"/>
  <c r="K170" i="3"/>
  <c r="C181" i="3"/>
  <c r="C180" i="3"/>
  <c r="E191" i="2"/>
  <c r="E147" i="3" s="1"/>
  <c r="D59" i="3"/>
  <c r="D61" i="3" s="1"/>
  <c r="C59" i="3"/>
  <c r="D103" i="3"/>
  <c r="D98" i="3"/>
  <c r="E112" i="3"/>
  <c r="E113" i="3"/>
  <c r="F112" i="3"/>
  <c r="B144" i="3"/>
  <c r="M160" i="3"/>
  <c r="D169" i="3"/>
  <c r="B29" i="3"/>
  <c r="B56" i="3"/>
  <c r="H17" i="3"/>
  <c r="I18" i="3" s="1"/>
  <c r="J17" i="3" s="1"/>
  <c r="E57" i="3"/>
  <c r="F61" i="3"/>
  <c r="E68" i="3"/>
  <c r="H66" i="3"/>
  <c r="E92" i="3"/>
  <c r="E106" i="3"/>
  <c r="E98" i="3"/>
  <c r="G135" i="3"/>
  <c r="L139" i="3"/>
  <c r="B169" i="3"/>
  <c r="B172" i="3"/>
  <c r="L201" i="3"/>
  <c r="J206" i="3"/>
  <c r="K204" i="3"/>
  <c r="J166" i="3"/>
  <c r="F169" i="3"/>
  <c r="D209" i="3"/>
  <c r="D203" i="3"/>
  <c r="G198" i="3"/>
  <c r="G200" i="3" s="1"/>
  <c r="G206" i="3"/>
  <c r="F44" i="4"/>
  <c r="D88" i="3"/>
  <c r="E115" i="3"/>
  <c r="E138" i="3" s="1"/>
  <c r="H129" i="3"/>
  <c r="H131" i="3" s="1"/>
  <c r="G146" i="3"/>
  <c r="C161" i="3"/>
  <c r="C164" i="3"/>
  <c r="D212" i="3"/>
  <c r="E52" i="3"/>
  <c r="C72" i="3"/>
  <c r="C66" i="3"/>
  <c r="C71" i="3"/>
  <c r="C75" i="3"/>
  <c r="E88" i="3"/>
  <c r="I129" i="3"/>
  <c r="I137" i="3"/>
  <c r="J136" i="3"/>
  <c r="I144" i="3"/>
  <c r="J142" i="3"/>
  <c r="J135" i="3" s="1"/>
  <c r="H151" i="3"/>
  <c r="H185" i="3"/>
  <c r="D71" i="3"/>
  <c r="D75" i="3"/>
  <c r="F141" i="3"/>
  <c r="I146" i="3"/>
  <c r="I165" i="3" s="1"/>
  <c r="J152" i="3"/>
  <c r="K152" i="3" s="1"/>
  <c r="L152" i="3" s="1"/>
  <c r="M152" i="3" s="1"/>
  <c r="N152" i="3" s="1"/>
  <c r="E165" i="3"/>
  <c r="H43" i="4"/>
  <c r="H39" i="3"/>
  <c r="D72" i="3"/>
  <c r="E75" i="3"/>
  <c r="C90" i="3"/>
  <c r="C92" i="3" s="1"/>
  <c r="B113" i="3"/>
  <c r="G118" i="3"/>
  <c r="G120" i="3" s="1"/>
  <c r="G115" i="3"/>
  <c r="K132" i="3"/>
  <c r="F165" i="3"/>
  <c r="C194" i="3"/>
  <c r="C193" i="3"/>
  <c r="I188" i="3"/>
  <c r="I191" i="3"/>
  <c r="C107" i="3"/>
  <c r="H137" i="3"/>
  <c r="H166" i="3"/>
  <c r="H165" i="3"/>
  <c r="B175" i="3"/>
  <c r="J177" i="3"/>
  <c r="G43" i="4"/>
  <c r="G44" i="4" s="1"/>
  <c r="H112" i="3"/>
  <c r="H118" i="3"/>
  <c r="H120" i="3" s="1"/>
  <c r="F149" i="3"/>
  <c r="F151" i="3" s="1"/>
  <c r="I184" i="3"/>
  <c r="J182" i="3"/>
  <c r="I179" i="3"/>
  <c r="I185" i="3"/>
  <c r="B212" i="3"/>
  <c r="B206" i="3"/>
  <c r="B203" i="3"/>
  <c r="B200" i="3"/>
  <c r="F43" i="4"/>
  <c r="I134" i="3"/>
  <c r="C143" i="3"/>
  <c r="C146" i="3"/>
  <c r="C183" i="3"/>
  <c r="H31" i="4"/>
  <c r="H44" i="4" s="1"/>
  <c r="B70" i="4"/>
  <c r="J77" i="3"/>
  <c r="K76" i="3" s="1"/>
  <c r="G80" i="3"/>
  <c r="J101" i="3"/>
  <c r="J109" i="3"/>
  <c r="K108" i="3" s="1"/>
  <c r="E160" i="3"/>
  <c r="C168" i="3"/>
  <c r="J198" i="3"/>
  <c r="I200" i="3"/>
  <c r="C212" i="3"/>
  <c r="I31" i="4"/>
  <c r="I44" i="4" s="1"/>
  <c r="C155" i="3"/>
  <c r="F160" i="3"/>
  <c r="F162" i="3" s="1"/>
  <c r="D24" i="4"/>
  <c r="D138" i="3"/>
  <c r="B159" i="3"/>
  <c r="G166" i="3"/>
  <c r="G165" i="3"/>
  <c r="M173" i="3"/>
  <c r="C185" i="3"/>
  <c r="C184" i="3"/>
  <c r="F188" i="3"/>
  <c r="F179" i="3"/>
  <c r="F181" i="3" s="1"/>
  <c r="E66" i="4"/>
  <c r="E70" i="4"/>
  <c r="K189" i="3"/>
  <c r="J196" i="3"/>
  <c r="I209" i="3"/>
  <c r="I203" i="3"/>
  <c r="C44" i="4"/>
  <c r="L62" i="4"/>
  <c r="D184" i="3"/>
  <c r="D185" i="3"/>
  <c r="H198" i="3"/>
  <c r="H200" i="3" s="1"/>
  <c r="H206" i="3"/>
  <c r="D70" i="4"/>
  <c r="D43" i="4"/>
  <c r="L192" i="3"/>
  <c r="I206" i="3"/>
  <c r="D175" i="3"/>
  <c r="I212" i="3"/>
  <c r="J212" i="3"/>
  <c r="B31" i="4"/>
  <c r="B44" i="4" s="1"/>
  <c r="G70" i="4"/>
  <c r="I43" i="4"/>
  <c r="B199" i="3"/>
  <c r="C205" i="3"/>
  <c r="L207" i="3"/>
  <c r="D31" i="4"/>
  <c r="D44" i="4" s="1"/>
  <c r="D160" i="3"/>
  <c r="D162" i="3" s="1"/>
  <c r="K186" i="3"/>
  <c r="F209" i="3"/>
  <c r="F203" i="3"/>
  <c r="C203" i="3"/>
  <c r="C202" i="3"/>
  <c r="F60" i="4"/>
  <c r="G60" i="4"/>
  <c r="C70" i="4"/>
  <c r="F70" i="4"/>
  <c r="B66" i="4"/>
  <c r="C66" i="4"/>
  <c r="K80" i="3" l="1"/>
  <c r="L79" i="3" s="1"/>
  <c r="J18" i="3"/>
  <c r="K17" i="3"/>
  <c r="J116" i="3"/>
  <c r="K115" i="3"/>
  <c r="J141" i="3"/>
  <c r="J134" i="3"/>
  <c r="K73" i="3"/>
  <c r="K77" i="3"/>
  <c r="L76" i="3" s="1"/>
  <c r="J15" i="3"/>
  <c r="K14" i="3"/>
  <c r="J200" i="3"/>
  <c r="K198" i="3"/>
  <c r="K191" i="3"/>
  <c r="L189" i="3"/>
  <c r="N173" i="3"/>
  <c r="K177" i="3"/>
  <c r="J194" i="3"/>
  <c r="J138" i="3"/>
  <c r="K136" i="3"/>
  <c r="E100" i="3"/>
  <c r="E99" i="3"/>
  <c r="K50" i="3"/>
  <c r="J49" i="3"/>
  <c r="I196" i="2"/>
  <c r="I131" i="2"/>
  <c r="D18" i="3"/>
  <c r="D19" i="3"/>
  <c r="F99" i="3"/>
  <c r="F100" i="3"/>
  <c r="I67" i="3"/>
  <c r="J66" i="3" s="1"/>
  <c r="I68" i="3"/>
  <c r="K188" i="3"/>
  <c r="L186" i="3"/>
  <c r="J191" i="3"/>
  <c r="G175" i="3"/>
  <c r="G172" i="3"/>
  <c r="G169" i="3"/>
  <c r="C144" i="3"/>
  <c r="B141" i="3"/>
  <c r="B138" i="3"/>
  <c r="I143" i="2"/>
  <c r="I22" i="3"/>
  <c r="J21" i="3"/>
  <c r="I3" i="3"/>
  <c r="I44" i="3"/>
  <c r="G99" i="3"/>
  <c r="G100" i="3"/>
  <c r="F14" i="4"/>
  <c r="F20" i="2"/>
  <c r="E131" i="3"/>
  <c r="K69" i="3"/>
  <c r="J72" i="3"/>
  <c r="J71" i="3"/>
  <c r="B131" i="2"/>
  <c r="C203" i="2" s="1"/>
  <c r="C196" i="2"/>
  <c r="M207" i="3"/>
  <c r="I99" i="3"/>
  <c r="I100" i="3"/>
  <c r="J98" i="3"/>
  <c r="F15" i="3"/>
  <c r="H3" i="4"/>
  <c r="H24" i="4" s="1"/>
  <c r="H4" i="3"/>
  <c r="H4" i="4" s="1"/>
  <c r="F78" i="3"/>
  <c r="F71" i="3"/>
  <c r="F3" i="3"/>
  <c r="F16" i="3" s="1"/>
  <c r="F75" i="3"/>
  <c r="C172" i="3"/>
  <c r="C165" i="3"/>
  <c r="L132" i="3"/>
  <c r="M201" i="3"/>
  <c r="F57" i="3"/>
  <c r="K58" i="3"/>
  <c r="J59" i="3"/>
  <c r="J61" i="3" s="1"/>
  <c r="C3" i="3"/>
  <c r="G6" i="4"/>
  <c r="G47" i="4"/>
  <c r="G9" i="3"/>
  <c r="E162" i="3"/>
  <c r="I169" i="3"/>
  <c r="G141" i="3"/>
  <c r="G134" i="3"/>
  <c r="C68" i="3"/>
  <c r="C67" i="3"/>
  <c r="D67" i="3"/>
  <c r="E169" i="3"/>
  <c r="J188" i="3"/>
  <c r="B134" i="3"/>
  <c r="C78" i="3"/>
  <c r="C81" i="3"/>
  <c r="L166" i="3"/>
  <c r="M163" i="3"/>
  <c r="J94" i="3"/>
  <c r="J96" i="3" s="1"/>
  <c r="H143" i="2"/>
  <c r="C5" i="3"/>
  <c r="C36" i="3"/>
  <c r="C37" i="3"/>
  <c r="C14" i="4"/>
  <c r="C20" i="2"/>
  <c r="N160" i="3"/>
  <c r="G78" i="3"/>
  <c r="G71" i="3"/>
  <c r="G3" i="3"/>
  <c r="G75" i="3"/>
  <c r="L111" i="3"/>
  <c r="D6" i="4"/>
  <c r="D47" i="4"/>
  <c r="D10" i="3"/>
  <c r="D9" i="3"/>
  <c r="G18" i="3"/>
  <c r="I175" i="3"/>
  <c r="B5" i="3"/>
  <c r="B36" i="3"/>
  <c r="B37" i="3"/>
  <c r="E175" i="3"/>
  <c r="C99" i="3"/>
  <c r="B99" i="3"/>
  <c r="B100" i="3"/>
  <c r="K105" i="3"/>
  <c r="J107" i="3"/>
  <c r="G5" i="4"/>
  <c r="G11" i="3"/>
  <c r="G7" i="3"/>
  <c r="G6" i="3"/>
  <c r="I162" i="3"/>
  <c r="D100" i="3"/>
  <c r="D99" i="3"/>
  <c r="M29" i="3"/>
  <c r="L28" i="3"/>
  <c r="L27" i="3" s="1"/>
  <c r="G162" i="3"/>
  <c r="H99" i="3"/>
  <c r="H100" i="3"/>
  <c r="F68" i="3"/>
  <c r="F143" i="2"/>
  <c r="J129" i="3"/>
  <c r="I131" i="3"/>
  <c r="E141" i="3"/>
  <c r="E134" i="3"/>
  <c r="B68" i="3"/>
  <c r="B67" i="3"/>
  <c r="K62" i="3"/>
  <c r="E18" i="3"/>
  <c r="K83" i="3"/>
  <c r="K113" i="3" s="1"/>
  <c r="J84" i="3"/>
  <c r="L15" i="4"/>
  <c r="I78" i="3"/>
  <c r="J52" i="3"/>
  <c r="I81" i="3"/>
  <c r="I75" i="3"/>
  <c r="M62" i="4"/>
  <c r="K109" i="3"/>
  <c r="L108" i="3"/>
  <c r="E3" i="3"/>
  <c r="E78" i="3"/>
  <c r="E71" i="3"/>
  <c r="H19" i="3"/>
  <c r="H18" i="3"/>
  <c r="C134" i="3"/>
  <c r="M210" i="3"/>
  <c r="H196" i="2"/>
  <c r="H131" i="2"/>
  <c r="I14" i="4"/>
  <c r="I20" i="2"/>
  <c r="I64" i="2"/>
  <c r="I76" i="2" s="1"/>
  <c r="L149" i="3"/>
  <c r="L151" i="3" s="1"/>
  <c r="M148" i="3"/>
  <c r="F47" i="4"/>
  <c r="F6" i="4"/>
  <c r="F10" i="3"/>
  <c r="F9" i="3"/>
  <c r="C18" i="3"/>
  <c r="B75" i="3"/>
  <c r="B78" i="3"/>
  <c r="B14" i="4"/>
  <c r="B20" i="2"/>
  <c r="I181" i="3"/>
  <c r="J179" i="3"/>
  <c r="K206" i="3"/>
  <c r="L204" i="3"/>
  <c r="F18" i="3"/>
  <c r="J185" i="3"/>
  <c r="J184" i="3"/>
  <c r="K182" i="3"/>
  <c r="H67" i="3"/>
  <c r="H5" i="3"/>
  <c r="H68" i="3"/>
  <c r="K17" i="4"/>
  <c r="J146" i="3"/>
  <c r="I172" i="3"/>
  <c r="D36" i="3"/>
  <c r="D37" i="3"/>
  <c r="D5" i="3"/>
  <c r="M192" i="3"/>
  <c r="J43" i="4"/>
  <c r="C138" i="3"/>
  <c r="J110" i="3"/>
  <c r="M139" i="3"/>
  <c r="C61" i="3"/>
  <c r="B161" i="3"/>
  <c r="B162" i="3"/>
  <c r="H14" i="4"/>
  <c r="H20" i="2"/>
  <c r="H64" i="2"/>
  <c r="H76" i="2" s="1"/>
  <c r="E144" i="3"/>
  <c r="C131" i="3"/>
  <c r="K117" i="3"/>
  <c r="B3" i="3"/>
  <c r="G68" i="3"/>
  <c r="I47" i="4"/>
  <c r="I6" i="4"/>
  <c r="I10" i="3"/>
  <c r="I9" i="3"/>
  <c r="J8" i="3"/>
  <c r="F5" i="3"/>
  <c r="L170" i="3"/>
  <c r="K101" i="3"/>
  <c r="J104" i="3"/>
  <c r="J103" i="3"/>
  <c r="J144" i="3"/>
  <c r="K142" i="3"/>
  <c r="K54" i="3"/>
  <c r="J55" i="3"/>
  <c r="J57" i="3" s="1"/>
  <c r="I88" i="3"/>
  <c r="J85" i="3"/>
  <c r="I5" i="3"/>
  <c r="K90" i="3"/>
  <c r="K92" i="3" s="1"/>
  <c r="L24" i="3"/>
  <c r="M23" i="3" s="1"/>
  <c r="M25" i="3"/>
  <c r="E6" i="4"/>
  <c r="E47" i="4"/>
  <c r="E10" i="3"/>
  <c r="E9" i="3"/>
  <c r="J209" i="3"/>
  <c r="K196" i="3"/>
  <c r="C162" i="3"/>
  <c r="J203" i="3"/>
  <c r="H9" i="3"/>
  <c r="E81" i="3"/>
  <c r="L167" i="3"/>
  <c r="F81" i="3"/>
  <c r="G15" i="3"/>
  <c r="E36" i="3"/>
  <c r="B19" i="3"/>
  <c r="B18" i="3"/>
  <c r="G131" i="3"/>
  <c r="I71" i="3"/>
  <c r="E5" i="3"/>
  <c r="L17" i="4" l="1"/>
  <c r="L77" i="3"/>
  <c r="M76" i="3" s="1"/>
  <c r="J68" i="3"/>
  <c r="K66" i="3"/>
  <c r="L80" i="3"/>
  <c r="M79" i="3" s="1"/>
  <c r="D5" i="4"/>
  <c r="D11" i="3"/>
  <c r="D7" i="3"/>
  <c r="D6" i="3"/>
  <c r="N210" i="3"/>
  <c r="N29" i="3"/>
  <c r="N28" i="3" s="1"/>
  <c r="M28" i="3"/>
  <c r="L113" i="3"/>
  <c r="M111" i="3"/>
  <c r="C5" i="4"/>
  <c r="C11" i="3"/>
  <c r="C7" i="3"/>
  <c r="C6" i="3"/>
  <c r="N207" i="3"/>
  <c r="M186" i="3"/>
  <c r="M189" i="3"/>
  <c r="L73" i="3"/>
  <c r="K75" i="3"/>
  <c r="L142" i="3"/>
  <c r="K144" i="3"/>
  <c r="N139" i="3"/>
  <c r="F19" i="3"/>
  <c r="I3" i="4"/>
  <c r="I24" i="4" s="1"/>
  <c r="I4" i="3"/>
  <c r="I4" i="4" s="1"/>
  <c r="I19" i="3"/>
  <c r="I16" i="3"/>
  <c r="K49" i="3"/>
  <c r="L50" i="3"/>
  <c r="B3" i="4"/>
  <c r="B24" i="4" s="1"/>
  <c r="B4" i="3"/>
  <c r="B4" i="4" s="1"/>
  <c r="B10" i="3"/>
  <c r="B16" i="3"/>
  <c r="M204" i="3"/>
  <c r="K52" i="3"/>
  <c r="J53" i="3"/>
  <c r="J78" i="3"/>
  <c r="J81" i="3"/>
  <c r="G3" i="4"/>
  <c r="G24" i="4" s="1"/>
  <c r="G4" i="3"/>
  <c r="G4" i="4" s="1"/>
  <c r="G16" i="3"/>
  <c r="K93" i="3"/>
  <c r="K15" i="3"/>
  <c r="L14" i="3" s="1"/>
  <c r="G7" i="4"/>
  <c r="G46" i="4"/>
  <c r="G49" i="4" s="1"/>
  <c r="G13" i="3"/>
  <c r="G9" i="4" s="1"/>
  <c r="G12" i="3"/>
  <c r="G8" i="4" s="1"/>
  <c r="G19" i="3"/>
  <c r="N201" i="3"/>
  <c r="L69" i="3"/>
  <c r="K72" i="3"/>
  <c r="K71" i="3"/>
  <c r="K18" i="3"/>
  <c r="L17" i="3"/>
  <c r="J48" i="3"/>
  <c r="J35" i="3"/>
  <c r="K21" i="3"/>
  <c r="J22" i="3"/>
  <c r="J2" i="3"/>
  <c r="J45" i="3"/>
  <c r="J46" i="3" s="1"/>
  <c r="K104" i="3"/>
  <c r="K103" i="3"/>
  <c r="L101" i="3"/>
  <c r="H55" i="4"/>
  <c r="H53" i="4" s="1"/>
  <c r="H94" i="2"/>
  <c r="H96" i="2" s="1"/>
  <c r="N192" i="3"/>
  <c r="I55" i="4"/>
  <c r="I53" i="4" s="1"/>
  <c r="I94" i="2"/>
  <c r="E3" i="4"/>
  <c r="E24" i="4" s="1"/>
  <c r="E4" i="3"/>
  <c r="E4" i="4" s="1"/>
  <c r="E16" i="3"/>
  <c r="L54" i="3"/>
  <c r="K55" i="3"/>
  <c r="K57" i="3" s="1"/>
  <c r="M24" i="3"/>
  <c r="N23" i="3" s="1"/>
  <c r="N25" i="3"/>
  <c r="N24" i="3" s="1"/>
  <c r="L115" i="3"/>
  <c r="L134" i="3" s="1"/>
  <c r="K116" i="3"/>
  <c r="K141" i="3"/>
  <c r="K179" i="3"/>
  <c r="J181" i="3"/>
  <c r="K129" i="3"/>
  <c r="J131" i="3"/>
  <c r="E5" i="4"/>
  <c r="E11" i="3"/>
  <c r="E7" i="3"/>
  <c r="E6" i="3"/>
  <c r="H5" i="4"/>
  <c r="H11" i="3"/>
  <c r="H7" i="3"/>
  <c r="H6" i="3"/>
  <c r="L109" i="3"/>
  <c r="M108" i="3"/>
  <c r="L83" i="3"/>
  <c r="K84" i="3"/>
  <c r="K134" i="3"/>
  <c r="C3" i="4"/>
  <c r="C24" i="4" s="1"/>
  <c r="C4" i="3"/>
  <c r="C4" i="4" s="1"/>
  <c r="C16" i="3"/>
  <c r="C10" i="3"/>
  <c r="D4" i="3"/>
  <c r="D4" i="4" s="1"/>
  <c r="L198" i="3"/>
  <c r="K200" i="3"/>
  <c r="K118" i="3"/>
  <c r="K120" i="3" s="1"/>
  <c r="B5" i="4"/>
  <c r="B6" i="3"/>
  <c r="B7" i="3"/>
  <c r="B11" i="3"/>
  <c r="N163" i="3"/>
  <c r="M166" i="3"/>
  <c r="M167" i="3"/>
  <c r="M149" i="3"/>
  <c r="M151" i="3" s="1"/>
  <c r="K110" i="3"/>
  <c r="E19" i="3"/>
  <c r="L105" i="3"/>
  <c r="K107" i="3"/>
  <c r="L135" i="3"/>
  <c r="M132" i="3"/>
  <c r="J100" i="3"/>
  <c r="J99" i="3"/>
  <c r="K98" i="3" s="1"/>
  <c r="L177" i="3"/>
  <c r="L188" i="3" s="1"/>
  <c r="K194" i="3"/>
  <c r="F3" i="4"/>
  <c r="F24" i="4" s="1"/>
  <c r="F4" i="3"/>
  <c r="F4" i="4" s="1"/>
  <c r="K59" i="3"/>
  <c r="K61" i="3" s="1"/>
  <c r="L136" i="3"/>
  <c r="K138" i="3"/>
  <c r="L89" i="3"/>
  <c r="F5" i="4"/>
  <c r="F11" i="3"/>
  <c r="F6" i="3"/>
  <c r="F7" i="3"/>
  <c r="J86" i="3"/>
  <c r="J88" i="3" s="1"/>
  <c r="K85" i="3"/>
  <c r="J6" i="4"/>
  <c r="J9" i="3"/>
  <c r="K8" i="3"/>
  <c r="L196" i="3"/>
  <c r="L206" i="3" s="1"/>
  <c r="K212" i="3"/>
  <c r="K209" i="3"/>
  <c r="K203" i="3"/>
  <c r="K184" i="3"/>
  <c r="L182" i="3"/>
  <c r="K185" i="3"/>
  <c r="H132" i="2"/>
  <c r="H203" i="2"/>
  <c r="K135" i="3"/>
  <c r="I203" i="2"/>
  <c r="B132" i="2"/>
  <c r="J147" i="3"/>
  <c r="J175" i="3"/>
  <c r="J162" i="3"/>
  <c r="K146" i="3"/>
  <c r="J172" i="3"/>
  <c r="J169" i="3"/>
  <c r="J165" i="3"/>
  <c r="M170" i="3"/>
  <c r="I5" i="4"/>
  <c r="I11" i="3"/>
  <c r="I7" i="3"/>
  <c r="I6" i="3"/>
  <c r="J5" i="3"/>
  <c r="C19" i="3"/>
  <c r="N62" i="4"/>
  <c r="K63" i="3"/>
  <c r="K65" i="3" s="1"/>
  <c r="L62" i="3"/>
  <c r="M27" i="3"/>
  <c r="N27" i="3" s="1"/>
  <c r="G10" i="3"/>
  <c r="J75" i="3"/>
  <c r="L18" i="4" l="1"/>
  <c r="M80" i="3"/>
  <c r="N79" i="3"/>
  <c r="L15" i="3"/>
  <c r="M14" i="3" s="1"/>
  <c r="M77" i="3"/>
  <c r="N76" i="3" s="1"/>
  <c r="K100" i="3"/>
  <c r="K99" i="3"/>
  <c r="L98" i="3" s="1"/>
  <c r="L63" i="3"/>
  <c r="L65" i="3" s="1"/>
  <c r="M62" i="3"/>
  <c r="L93" i="3"/>
  <c r="K94" i="3"/>
  <c r="K96" i="3" s="1"/>
  <c r="B46" i="4"/>
  <c r="B49" i="4" s="1"/>
  <c r="B13" i="3"/>
  <c r="B9" i="4" s="1"/>
  <c r="B7" i="4"/>
  <c r="B12" i="3"/>
  <c r="B8" i="4" s="1"/>
  <c r="U16" i="3"/>
  <c r="J38" i="3"/>
  <c r="L49" i="3"/>
  <c r="M50" i="3"/>
  <c r="N111" i="3"/>
  <c r="L55" i="3"/>
  <c r="L57" i="3" s="1"/>
  <c r="L85" i="3"/>
  <c r="K86" i="3"/>
  <c r="K88" i="3" s="1"/>
  <c r="J5" i="4"/>
  <c r="J7" i="3"/>
  <c r="J6" i="3"/>
  <c r="K5" i="3" s="1"/>
  <c r="L84" i="3"/>
  <c r="M83" i="3"/>
  <c r="L191" i="3"/>
  <c r="H46" i="4"/>
  <c r="H49" i="4" s="1"/>
  <c r="H7" i="4"/>
  <c r="H12" i="3"/>
  <c r="H8" i="4" s="1"/>
  <c r="H13" i="3"/>
  <c r="H9" i="4" s="1"/>
  <c r="H68" i="4"/>
  <c r="H97" i="2"/>
  <c r="I95" i="2"/>
  <c r="I67" i="4" s="1"/>
  <c r="L18" i="3"/>
  <c r="M17" i="3" s="1"/>
  <c r="N189" i="3"/>
  <c r="L104" i="3"/>
  <c r="L103" i="3"/>
  <c r="M101" i="3"/>
  <c r="N186" i="3"/>
  <c r="K6" i="4"/>
  <c r="K9" i="3"/>
  <c r="L8" i="3"/>
  <c r="K48" i="3"/>
  <c r="K38" i="3" s="1"/>
  <c r="K35" i="3"/>
  <c r="K22" i="3"/>
  <c r="K45" i="3"/>
  <c r="K46" i="3" s="1"/>
  <c r="L21" i="3"/>
  <c r="K2" i="3"/>
  <c r="C46" i="4"/>
  <c r="C49" i="4" s="1"/>
  <c r="C7" i="4"/>
  <c r="C13" i="3"/>
  <c r="C9" i="4" s="1"/>
  <c r="C12" i="3"/>
  <c r="C8" i="4" s="1"/>
  <c r="L58" i="3"/>
  <c r="M73" i="3"/>
  <c r="L75" i="3"/>
  <c r="L129" i="3"/>
  <c r="K131" i="3"/>
  <c r="L117" i="3"/>
  <c r="L110" i="3"/>
  <c r="L52" i="3"/>
  <c r="K53" i="3"/>
  <c r="K81" i="3"/>
  <c r="K78" i="3"/>
  <c r="J3" i="3"/>
  <c r="K147" i="3"/>
  <c r="K175" i="3"/>
  <c r="L146" i="3"/>
  <c r="K162" i="3"/>
  <c r="K165" i="3"/>
  <c r="K169" i="3"/>
  <c r="K172" i="3"/>
  <c r="L107" i="3"/>
  <c r="M105" i="3"/>
  <c r="K67" i="3"/>
  <c r="L66" i="3" s="1"/>
  <c r="K68" i="3"/>
  <c r="M177" i="3"/>
  <c r="L194" i="3"/>
  <c r="M110" i="3"/>
  <c r="M109" i="3"/>
  <c r="N108" i="3" s="1"/>
  <c r="I7" i="4"/>
  <c r="I46" i="4"/>
  <c r="I49" i="4" s="1"/>
  <c r="I12" i="3"/>
  <c r="I8" i="4" s="1"/>
  <c r="I13" i="3"/>
  <c r="I9" i="4" s="1"/>
  <c r="F7" i="4"/>
  <c r="F46" i="4"/>
  <c r="F49" i="4" s="1"/>
  <c r="F13" i="3"/>
  <c r="F9" i="4" s="1"/>
  <c r="F12" i="3"/>
  <c r="F8" i="4" s="1"/>
  <c r="N148" i="3"/>
  <c r="N149" i="3" s="1"/>
  <c r="N151" i="3" s="1"/>
  <c r="K181" i="3"/>
  <c r="L179" i="3"/>
  <c r="M69" i="3"/>
  <c r="L71" i="3"/>
  <c r="L72" i="3"/>
  <c r="L116" i="3"/>
  <c r="M115" i="3" s="1"/>
  <c r="L141" i="3"/>
  <c r="M136" i="3"/>
  <c r="L138" i="3"/>
  <c r="J36" i="3"/>
  <c r="L184" i="3"/>
  <c r="L185" i="3"/>
  <c r="M182" i="3"/>
  <c r="N167" i="3"/>
  <c r="M198" i="3"/>
  <c r="L200" i="3"/>
  <c r="I96" i="2"/>
  <c r="N204" i="3"/>
  <c r="N166" i="3"/>
  <c r="M142" i="3"/>
  <c r="L144" i="3"/>
  <c r="E46" i="4"/>
  <c r="E49" i="4" s="1"/>
  <c r="E7" i="4"/>
  <c r="E13" i="3"/>
  <c r="E9" i="4" s="1"/>
  <c r="E12" i="3"/>
  <c r="E8" i="4" s="1"/>
  <c r="N170" i="3"/>
  <c r="M196" i="3"/>
  <c r="L203" i="3"/>
  <c r="L209" i="3"/>
  <c r="L212" i="3"/>
  <c r="M89" i="3"/>
  <c r="L90" i="3"/>
  <c r="L92" i="3" s="1"/>
  <c r="M135" i="3"/>
  <c r="N132" i="3"/>
  <c r="D7" i="4"/>
  <c r="D46" i="4"/>
  <c r="D49" i="4" s="1"/>
  <c r="D13" i="3"/>
  <c r="D9" i="4" s="1"/>
  <c r="D12" i="3"/>
  <c r="D8" i="4" s="1"/>
  <c r="M15" i="4"/>
  <c r="N77" i="3" l="1"/>
  <c r="L68" i="3"/>
  <c r="L67" i="3"/>
  <c r="M66" i="3" s="1"/>
  <c r="M116" i="3"/>
  <c r="N115" i="3"/>
  <c r="M141" i="3"/>
  <c r="M134" i="3"/>
  <c r="M15" i="3"/>
  <c r="N14" i="3"/>
  <c r="L100" i="3"/>
  <c r="L99" i="3"/>
  <c r="M98" i="3"/>
  <c r="K5" i="4"/>
  <c r="K7" i="3"/>
  <c r="K6" i="3"/>
  <c r="L5" i="3"/>
  <c r="N109" i="3"/>
  <c r="N17" i="3"/>
  <c r="M18" i="3"/>
  <c r="L35" i="3"/>
  <c r="L45" i="3"/>
  <c r="L46" i="3" s="1"/>
  <c r="L22" i="3"/>
  <c r="L48" i="3"/>
  <c r="L38" i="3" s="1"/>
  <c r="L2" i="3"/>
  <c r="M21" i="3"/>
  <c r="L118" i="3"/>
  <c r="L120" i="3" s="1"/>
  <c r="I68" i="4"/>
  <c r="I97" i="2"/>
  <c r="L147" i="3"/>
  <c r="M146" i="3"/>
  <c r="L162" i="3"/>
  <c r="L175" i="3"/>
  <c r="L165" i="3"/>
  <c r="L169" i="3"/>
  <c r="L172" i="3"/>
  <c r="M129" i="3"/>
  <c r="L131" i="3"/>
  <c r="K36" i="3"/>
  <c r="K42" i="3"/>
  <c r="N191" i="3"/>
  <c r="M104" i="3"/>
  <c r="M103" i="3"/>
  <c r="N101" i="3"/>
  <c r="H70" i="4"/>
  <c r="H66" i="4"/>
  <c r="M138" i="3"/>
  <c r="N136" i="3"/>
  <c r="N138" i="3" s="1"/>
  <c r="N135" i="3"/>
  <c r="N134" i="3"/>
  <c r="J11" i="3"/>
  <c r="L59" i="3"/>
  <c r="L61" i="3" s="1"/>
  <c r="L6" i="4"/>
  <c r="L9" i="3"/>
  <c r="M8" i="3" s="1"/>
  <c r="M54" i="3"/>
  <c r="N73" i="3"/>
  <c r="J3" i="4"/>
  <c r="J23" i="4" s="1"/>
  <c r="J24" i="4" s="1"/>
  <c r="J4" i="3"/>
  <c r="J4" i="4" s="1"/>
  <c r="K3" i="3"/>
  <c r="J19" i="3"/>
  <c r="J16" i="3"/>
  <c r="J10" i="3"/>
  <c r="N177" i="3"/>
  <c r="N194" i="3" s="1"/>
  <c r="M194" i="3"/>
  <c r="K39" i="3"/>
  <c r="K40" i="3"/>
  <c r="L86" i="3"/>
  <c r="L88" i="3" s="1"/>
  <c r="M90" i="3"/>
  <c r="M92" i="3" s="1"/>
  <c r="M144" i="3"/>
  <c r="N142" i="3"/>
  <c r="N182" i="3"/>
  <c r="M185" i="3"/>
  <c r="M184" i="3"/>
  <c r="L94" i="3"/>
  <c r="L96" i="3" s="1"/>
  <c r="M191" i="3"/>
  <c r="N15" i="4"/>
  <c r="N17" i="4" s="1"/>
  <c r="M17" i="4"/>
  <c r="M72" i="3"/>
  <c r="N69" i="3"/>
  <c r="M107" i="3"/>
  <c r="N105" i="3"/>
  <c r="N83" i="3"/>
  <c r="N84" i="3" s="1"/>
  <c r="M84" i="3"/>
  <c r="M113" i="3"/>
  <c r="M63" i="3"/>
  <c r="M65" i="3" s="1"/>
  <c r="N62" i="3"/>
  <c r="N63" i="3" s="1"/>
  <c r="N65" i="3" s="1"/>
  <c r="N80" i="3"/>
  <c r="M188" i="3"/>
  <c r="J39" i="3"/>
  <c r="J40" i="3"/>
  <c r="M200" i="3"/>
  <c r="N198" i="3"/>
  <c r="N200" i="3" s="1"/>
  <c r="L181" i="3"/>
  <c r="M179" i="3"/>
  <c r="N196" i="3"/>
  <c r="M203" i="3"/>
  <c r="M209" i="3"/>
  <c r="M212" i="3"/>
  <c r="M206" i="3"/>
  <c r="J42" i="3"/>
  <c r="M52" i="3"/>
  <c r="L53" i="3"/>
  <c r="L81" i="3"/>
  <c r="L78" i="3"/>
  <c r="N188" i="3"/>
  <c r="M49" i="3"/>
  <c r="N50" i="3"/>
  <c r="N49" i="3" s="1"/>
  <c r="M18" i="4" l="1"/>
  <c r="N18" i="4"/>
  <c r="M6" i="4"/>
  <c r="M9" i="3"/>
  <c r="N8" i="3" s="1"/>
  <c r="M68" i="3"/>
  <c r="M67" i="3"/>
  <c r="N66" i="3" s="1"/>
  <c r="N15" i="3"/>
  <c r="M85" i="3"/>
  <c r="M58" i="3"/>
  <c r="N18" i="3"/>
  <c r="N107" i="3"/>
  <c r="J7" i="4"/>
  <c r="J13" i="3"/>
  <c r="J9" i="4" s="1"/>
  <c r="J12" i="3"/>
  <c r="J8" i="4" s="1"/>
  <c r="K43" i="3"/>
  <c r="K44" i="3"/>
  <c r="I70" i="4"/>
  <c r="K10" i="4" s="1"/>
  <c r="I66" i="4"/>
  <c r="J67" i="4"/>
  <c r="N110" i="3"/>
  <c r="M53" i="3"/>
  <c r="N52" i="3"/>
  <c r="M81" i="3"/>
  <c r="M78" i="3"/>
  <c r="N72" i="3"/>
  <c r="M75" i="3"/>
  <c r="M117" i="3"/>
  <c r="L6" i="3"/>
  <c r="M5" i="3"/>
  <c r="L5" i="4"/>
  <c r="J43" i="3"/>
  <c r="J44" i="3"/>
  <c r="N113" i="3"/>
  <c r="M71" i="3"/>
  <c r="M131" i="3"/>
  <c r="N129" i="3"/>
  <c r="N131" i="3" s="1"/>
  <c r="M48" i="3"/>
  <c r="M38" i="3" s="1"/>
  <c r="M45" i="3"/>
  <c r="M46" i="3" s="1"/>
  <c r="M22" i="3"/>
  <c r="M2" i="3"/>
  <c r="M35" i="3"/>
  <c r="N21" i="3"/>
  <c r="N116" i="3"/>
  <c r="N141" i="3"/>
  <c r="N185" i="3"/>
  <c r="N184" i="3"/>
  <c r="M55" i="3"/>
  <c r="M57" i="3" s="1"/>
  <c r="N144" i="3"/>
  <c r="L39" i="3"/>
  <c r="L40" i="3"/>
  <c r="M99" i="3"/>
  <c r="N98" i="3"/>
  <c r="M100" i="3"/>
  <c r="N203" i="3"/>
  <c r="N212" i="3"/>
  <c r="N209" i="3"/>
  <c r="N206" i="3"/>
  <c r="N89" i="3"/>
  <c r="N90" i="3" s="1"/>
  <c r="N92" i="3" s="1"/>
  <c r="K3" i="4"/>
  <c r="K24" i="4" s="1"/>
  <c r="K4" i="3"/>
  <c r="K4" i="4" s="1"/>
  <c r="K16" i="3"/>
  <c r="K19" i="3"/>
  <c r="K10" i="3"/>
  <c r="N103" i="3"/>
  <c r="N104" i="3"/>
  <c r="L42" i="3"/>
  <c r="L36" i="3"/>
  <c r="M181" i="3"/>
  <c r="N179" i="3"/>
  <c r="N181" i="3" s="1"/>
  <c r="M93" i="3"/>
  <c r="M147" i="3"/>
  <c r="N146" i="3"/>
  <c r="M175" i="3"/>
  <c r="M162" i="3"/>
  <c r="M165" i="3"/>
  <c r="M172" i="3"/>
  <c r="M169" i="3"/>
  <c r="N6" i="4" l="1"/>
  <c r="N9" i="3"/>
  <c r="N68" i="3"/>
  <c r="N67" i="3"/>
  <c r="M5" i="4"/>
  <c r="M6" i="3"/>
  <c r="N5" i="3"/>
  <c r="L3" i="3"/>
  <c r="N35" i="3"/>
  <c r="N45" i="3"/>
  <c r="N46" i="3" s="1"/>
  <c r="N48" i="3"/>
  <c r="N38" i="3" s="1"/>
  <c r="N2" i="3"/>
  <c r="N22" i="3"/>
  <c r="M36" i="3"/>
  <c r="M42" i="3"/>
  <c r="N147" i="3"/>
  <c r="N175" i="3"/>
  <c r="N162" i="3"/>
  <c r="N165" i="3"/>
  <c r="N169" i="3"/>
  <c r="N172" i="3"/>
  <c r="M94" i="3"/>
  <c r="M96" i="3" s="1"/>
  <c r="M118" i="3"/>
  <c r="M120" i="3" s="1"/>
  <c r="N53" i="3"/>
  <c r="N78" i="3"/>
  <c r="N81" i="3"/>
  <c r="J11" i="4"/>
  <c r="J12" i="4" s="1"/>
  <c r="J14" i="4"/>
  <c r="N99" i="3"/>
  <c r="N100" i="3"/>
  <c r="M39" i="3"/>
  <c r="M40" i="3"/>
  <c r="M59" i="3"/>
  <c r="M61" i="3" s="1"/>
  <c r="K11" i="3"/>
  <c r="N54" i="3"/>
  <c r="N55" i="3" s="1"/>
  <c r="N57" i="3" s="1"/>
  <c r="N71" i="3"/>
  <c r="L43" i="3"/>
  <c r="L44" i="3"/>
  <c r="N75" i="3"/>
  <c r="M86" i="3"/>
  <c r="M88" i="3" s="1"/>
  <c r="N85" i="3"/>
  <c r="N86" i="3" s="1"/>
  <c r="N88" i="3" s="1"/>
  <c r="L3" i="4" l="1"/>
  <c r="L24" i="4" s="1"/>
  <c r="L4" i="3"/>
  <c r="L4" i="4" s="1"/>
  <c r="M3" i="3"/>
  <c r="L16" i="3"/>
  <c r="L19" i="3"/>
  <c r="L10" i="3"/>
  <c r="L7" i="3"/>
  <c r="M44" i="3"/>
  <c r="M43" i="3"/>
  <c r="N5" i="4"/>
  <c r="N6" i="3"/>
  <c r="N117" i="3"/>
  <c r="N118" i="3" s="1"/>
  <c r="N120" i="3" s="1"/>
  <c r="N58" i="3"/>
  <c r="N59" i="3" s="1"/>
  <c r="N61" i="3" s="1"/>
  <c r="N39" i="3"/>
  <c r="N40" i="3"/>
  <c r="N42" i="3"/>
  <c r="N36" i="3"/>
  <c r="K7" i="4"/>
  <c r="K13" i="3"/>
  <c r="K9" i="4" s="1"/>
  <c r="L11" i="3"/>
  <c r="K12" i="3"/>
  <c r="K8" i="4" s="1"/>
  <c r="N93" i="3"/>
  <c r="N94" i="3" s="1"/>
  <c r="N96" i="3" s="1"/>
  <c r="N44" i="3" l="1"/>
  <c r="N43" i="3"/>
  <c r="K11" i="4"/>
  <c r="K12" i="4" s="1"/>
  <c r="K14" i="4"/>
  <c r="M3" i="4"/>
  <c r="M24" i="4" s="1"/>
  <c r="M4" i="3"/>
  <c r="M4" i="4" s="1"/>
  <c r="N3" i="3"/>
  <c r="M16" i="3"/>
  <c r="M19" i="3"/>
  <c r="M10" i="3"/>
  <c r="M7" i="3"/>
  <c r="L7" i="4"/>
  <c r="L12" i="3"/>
  <c r="L8" i="4" s="1"/>
  <c r="M11" i="3"/>
  <c r="L13" i="3"/>
  <c r="L9" i="4" s="1"/>
  <c r="J31" i="4" l="1"/>
  <c r="J44" i="4" s="1"/>
  <c r="M7" i="4"/>
  <c r="M13" i="3"/>
  <c r="M9" i="4" s="1"/>
  <c r="M12" i="3"/>
  <c r="M8" i="4" s="1"/>
  <c r="N11" i="3"/>
  <c r="K43" i="4"/>
  <c r="K16" i="4"/>
  <c r="K19" i="4" s="1"/>
  <c r="K66" i="4"/>
  <c r="L11" i="4"/>
  <c r="L12" i="4" s="1"/>
  <c r="L14" i="4"/>
  <c r="N3" i="4"/>
  <c r="N24" i="4" s="1"/>
  <c r="N4" i="3"/>
  <c r="N4" i="4" s="1"/>
  <c r="N19" i="3"/>
  <c r="N16" i="3"/>
  <c r="N10" i="3"/>
  <c r="N7" i="3"/>
  <c r="N7" i="4" l="1"/>
  <c r="N13" i="3"/>
  <c r="N9" i="4" s="1"/>
  <c r="N12" i="3"/>
  <c r="N8" i="4" s="1"/>
  <c r="K31" i="4"/>
  <c r="K44" i="4" s="1"/>
  <c r="M11" i="4"/>
  <c r="M12" i="4" s="1"/>
  <c r="M14" i="4"/>
  <c r="L16" i="4"/>
  <c r="L19" i="4" s="1"/>
  <c r="L43" i="4"/>
  <c r="L66" i="4"/>
  <c r="N11" i="4" l="1"/>
  <c r="N12" i="4" s="1"/>
  <c r="N14" i="4"/>
  <c r="M43" i="4"/>
  <c r="M16" i="4"/>
  <c r="M19" i="4" s="1"/>
  <c r="M66" i="4"/>
  <c r="N43" i="4" l="1"/>
  <c r="N16" i="4"/>
  <c r="N19" i="4" s="1"/>
  <c r="N66" i="4"/>
  <c r="L31" i="4"/>
  <c r="L44" i="4" s="1"/>
  <c r="M31" i="4" l="1"/>
  <c r="M44" i="4" s="1"/>
  <c r="N31" i="4" l="1"/>
  <c r="N44" i="4" s="1"/>
  <c r="N10" i="4" l="1"/>
  <c r="M10" i="4"/>
  <c r="L10" i="4"/>
  <c r="J64" i="4"/>
  <c r="J66" i="4" s="1"/>
  <c r="J68" i="4" s="1"/>
  <c r="J16" i="4"/>
  <c r="K67" i="4" l="1"/>
  <c r="K68" i="4" s="1"/>
  <c r="J69" i="4"/>
  <c r="J70" i="4"/>
  <c r="K70" i="4" l="1"/>
  <c r="L67" i="4"/>
  <c r="L68" i="4" s="1"/>
  <c r="K69" i="4"/>
  <c r="M67" i="4" l="1"/>
  <c r="M68" i="4" s="1"/>
  <c r="L70" i="4"/>
  <c r="L69" i="4"/>
  <c r="M69" i="4" l="1"/>
  <c r="M70" i="4"/>
  <c r="N67" i="4"/>
  <c r="N68" i="4" s="1"/>
  <c r="N69" i="4" l="1"/>
  <c r="N70" i="4"/>
  <c r="J18" i="4"/>
  <c r="J19" i="4"/>
  <c r="K18" i="4"/>
  <c r="B57" i="3"/>
  <c r="B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3" authorId="0" shapeId="0" xr:uid="{00000000-0006-0000-0100-000001000000}">
      <text>
        <r>
          <rPr>
            <sz val="11"/>
            <color rgb="FF000000"/>
            <rFont val="Calibri"/>
            <family val="2"/>
            <charset val="1"/>
          </rPr>
          <t xml:space="preserve">Dell:
</t>
        </r>
        <r>
          <rPr>
            <sz val="9"/>
            <color rgb="FF000000"/>
            <rFont val="Tahoma"/>
            <family val="2"/>
            <charset val="1"/>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<sst xmlns="http://schemas.openxmlformats.org/spreadsheetml/2006/main" count="541" uniqueCount="242">
  <si>
    <t>Instructions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</si>
  <si>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</si>
  <si>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</si>
  <si>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</si>
  <si>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</si>
  <si>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</si>
  <si>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</si>
  <si>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</si>
  <si>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</si>
  <si>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</si>
  <si>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You can take up to 5 days for this exercise</t>
  </si>
  <si>
    <r>
      <rPr>
        <b/>
        <sz val="16"/>
        <color rgb="FFFFFFFF"/>
        <rFont val="Calibri"/>
        <family val="2"/>
        <charset val="1"/>
      </rPr>
      <t xml:space="preserve">NIKE, INC.
</t>
    </r>
    <r>
      <rPr>
        <sz val="11"/>
        <color rgb="FFFFFFFF"/>
        <rFont val="Calibri"/>
        <family val="2"/>
        <charset val="1"/>
      </rPr>
      <t>(Dollars and Shares in Millions Except Per Share Amounts)</t>
    </r>
  </si>
  <si>
    <t>Revenues</t>
  </si>
  <si>
    <t>Cost of sales</t>
  </si>
  <si>
    <t>Gross profit</t>
  </si>
  <si>
    <t>Demand creation expense</t>
  </si>
  <si>
    <t>Operating overhead expense</t>
  </si>
  <si>
    <t>Total selling and administrative expense</t>
  </si>
  <si>
    <t>Interest expense (income), net</t>
  </si>
  <si>
    <t>Other (income) expense, net</t>
  </si>
  <si>
    <t>Income before income taxes</t>
  </si>
  <si>
    <t>Income tax expense</t>
  </si>
  <si>
    <t>NET INCOME</t>
  </si>
  <si>
    <t>Net earnings per share:</t>
  </si>
  <si>
    <t>Basic</t>
  </si>
  <si>
    <t>Diluted</t>
  </si>
  <si>
    <t>Average shares outstanding:</t>
  </si>
  <si>
    <t>Check (Reported diluted EPS-(Net income/diluted no. of shares)</t>
  </si>
  <si>
    <t>CONSOLIDATED BALANCE SHEETS</t>
  </si>
  <si>
    <t>ASSETS</t>
  </si>
  <si>
    <t>Current assets:</t>
  </si>
  <si>
    <t>Cash and equivalents</t>
  </si>
  <si>
    <t>Short-term investments</t>
  </si>
  <si>
    <t>recorded in CFI</t>
  </si>
  <si>
    <t>Accounts receivable, net</t>
  </si>
  <si>
    <t>recorded in cash flow from operations</t>
  </si>
  <si>
    <t>Inventories</t>
  </si>
  <si>
    <t>Prepaid expenses and other current assets</t>
  </si>
  <si>
    <t>Total current assets</t>
  </si>
  <si>
    <t>Property, plant and equipment, net</t>
  </si>
  <si>
    <t>CapEx and CFI are related</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</si>
  <si>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</si>
  <si>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</si>
  <si>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</si>
  <si>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</si>
  <si>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</si>
  <si>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</si>
  <si>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</si>
  <si>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</si>
  <si>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</si>
  <si>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Accounts payable</t>
  </si>
  <si>
    <t>Current portion of operating lease liabilities</t>
  </si>
  <si>
    <t>Accrued liabilities</t>
  </si>
  <si>
    <t>Income taxes payable</t>
  </si>
  <si>
    <t>Total current liabilities</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</si>
  <si>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</si>
  <si>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</si>
  <si>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</si>
  <si>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</si>
  <si>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</si>
  <si>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</si>
  <si>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</si>
  <si>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</si>
  <si>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</si>
  <si>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</si>
  <si>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</si>
  <si>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</si>
  <si>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</si>
  <si>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</si>
  <si>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 xml:space="preserve"> Check (total assets - total labilities and equity)</t>
  </si>
  <si>
    <t>CONSOLIDATED STATEMENTS OF CASH FLOWS</t>
  </si>
  <si>
    <t>(Link Net income figures from income statement)</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</si>
  <si>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</si>
  <si>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</si>
  <si>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</si>
  <si>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</si>
  <si>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</si>
  <si>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</si>
  <si>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</si>
  <si>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</si>
  <si>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</si>
  <si>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</si>
  <si>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</si>
  <si>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(Increase) decrease in prepaid expenses, operating lease right-of-use assets and other current and non-current assets</t>
  </si>
  <si>
    <t>Increase (decrease) in accounts payable, accrued liabilities, operating lease liabilities and other current and non-current liabilities</t>
  </si>
  <si>
    <t>Cash provided (used) by operations</t>
  </si>
  <si>
    <t>Cash provided (used) by investing activities:</t>
  </si>
  <si>
    <t>Purchases of short-term investments</t>
  </si>
  <si>
    <t>Maturities of short-term investments</t>
  </si>
  <si>
    <t>Sales of short-term investments</t>
  </si>
  <si>
    <t>Additions to property, plant and equipment</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</si>
  <si>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</si>
  <si>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</si>
  <si>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</si>
  <si>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</si>
  <si>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</si>
  <si>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</si>
  <si>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</si>
  <si>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Repurchase of common stock</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</si>
  <si>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</si>
  <si>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</si>
  <si>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</si>
  <si>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</si>
  <si>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</si>
  <si>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</si>
  <si>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</si>
  <si>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 xml:space="preserve"> Check (cash at eop - cash in balance sheet)</t>
  </si>
  <si>
    <t>Supplemental disclosure of cash flow information:</t>
  </si>
  <si>
    <t>Cash paid during the year for:</t>
  </si>
  <si>
    <t>Interest, net of capitalized interest</t>
  </si>
  <si>
    <t>Income taxes</t>
  </si>
  <si>
    <t>Non-cash additions to property, plant and equipment</t>
  </si>
  <si>
    <t>Dividends declared and not paid</t>
  </si>
  <si>
    <t>Segmental Breakdowns</t>
  </si>
  <si>
    <t>Revenue:</t>
  </si>
  <si>
    <t>North America</t>
  </si>
  <si>
    <t>Footwear</t>
  </si>
  <si>
    <t>Apparel</t>
  </si>
  <si>
    <t>Equipment</t>
  </si>
  <si>
    <t>Europe, Middle East &amp; Africa</t>
  </si>
  <si>
    <t>Greater China</t>
  </si>
  <si>
    <t>Asia Pacific &amp; Latin America</t>
  </si>
  <si>
    <t>Global Brand Divisions</t>
  </si>
  <si>
    <t>TOTAL NIKE BRAND</t>
  </si>
  <si>
    <t>Converse</t>
  </si>
  <si>
    <t>Other</t>
  </si>
  <si>
    <t>Corporate</t>
  </si>
  <si>
    <t>TOTAL NIKE, INC. REVENUES</t>
  </si>
  <si>
    <t xml:space="preserve"> Check</t>
  </si>
  <si>
    <t>EBIT:</t>
  </si>
  <si>
    <t>TOTAL NIKE, INC. EBIT</t>
  </si>
  <si>
    <t>PROPERTY, PLANT AND EQUIPMENT, NET</t>
  </si>
  <si>
    <t>Asia Pacific &amp; Latin America(1)</t>
  </si>
  <si>
    <t>Total NIKE Brand</t>
  </si>
  <si>
    <t>TOTAL PROPERTY, PLANT AND EQUIPMENT, NET</t>
  </si>
  <si>
    <t>ADDITIONS TO PROPERTY, PLANT AND EQUIPMENT</t>
  </si>
  <si>
    <t>TOTAL ADDITIONS TO PROPERTY, PLANT AND EQUIPMENT</t>
  </si>
  <si>
    <t>DEPRECIATION</t>
  </si>
  <si>
    <t>TOTAL DEPRECIATION</t>
  </si>
  <si>
    <t>Revenue Drivers</t>
  </si>
  <si>
    <t>Organic revenue growth</t>
  </si>
  <si>
    <t>Group Totals</t>
  </si>
  <si>
    <t>Group Revenue</t>
  </si>
  <si>
    <t>Add up the segment revenues from below</t>
  </si>
  <si>
    <t>Growth %</t>
  </si>
  <si>
    <t>EBITDA</t>
  </si>
  <si>
    <t>Add up the segment EBITDA from below</t>
  </si>
  <si>
    <t>Margin %</t>
  </si>
  <si>
    <t>D&amp;A</t>
  </si>
  <si>
    <t>Add up the segment D&amp;A from below</t>
  </si>
  <si>
    <t>As a  % of revenue</t>
  </si>
  <si>
    <t>EBIT</t>
  </si>
  <si>
    <t>EBITDA - D&amp;A</t>
  </si>
  <si>
    <t>Capex</t>
  </si>
  <si>
    <t>Add up the segment Capex from below</t>
  </si>
  <si>
    <t>Property, plant and equipment</t>
  </si>
  <si>
    <t>Add up the segment PPE from below</t>
  </si>
  <si>
    <t>Revenue</t>
  </si>
  <si>
    <t>Organic growth %</t>
  </si>
  <si>
    <t>Nike Direct reports decreased 10%+ growth for past 3 fiscal years (2021-23 10Ks) over wholesale consumers and remains steady, with footwear and equipment seeing nearly 20% growth in that time.</t>
  </si>
  <si>
    <t>Currency impact %</t>
  </si>
  <si>
    <t>In May 2023 Nike announced changes in their senior leadership in order to further what Nike does best “seamlessly serve athletes with compelling products”. John Donahoe and Craig Williams will serve as leaders (Presidents) for the deepening consumer insights.</t>
  </si>
  <si>
    <t>As a % of PPE</t>
  </si>
  <si>
    <t>Nike Direct reports revenue increase close to 20% growth for past 3 fiscal years (2021-23 10Ks), with the average selling price increased for Jordan’s, kid’s and women’s brands in that time.</t>
  </si>
  <si>
    <t>Converse have released differing versions of some of their most popular shoes in recent years and have seen continued sales of such retro products.</t>
  </si>
  <si>
    <t>In May 2023 Nike announced their new Converse CEO, Jared Carver who succeeds Scott Uzzell. Carver is described as a consumer-first thinker and formerly unlocked strong growth in the North America region.</t>
  </si>
  <si>
    <t xml:space="preserve">Other </t>
  </si>
  <si>
    <t>Gross margin expansion of approximately 140 basis points, primarily due to higher inventory obsolescence reserves recognized in the fourth quarter of fiscal 2022, favorable changes in standard foreign currency exchange rates and higher full-price ASP, net of discounts, in part due to product mix. This was partially offset by higher product costs reflecting higher input costs and product mix.</t>
  </si>
  <si>
    <t>Football Australia and Nike have renewed a 10 year partnership and the Jordan Wings Program continues to search for talent; now in the Philippines for 2027. “ APLA revenues increased 17% on a currency-neutral basis due to higher revenues across nearly all territories, led by Southeast Asia and India, Korea and Japan. The increase was partially offset by a decline in our CASA territory. - Revenues increased primarily due to growth in Men's, Women's and the Jordan Brand. NIKE Direct revenues increased 22%, driven by digital sales growth of 23% and comparable store sales growth of 28%. ”</t>
  </si>
  <si>
    <t>Comments</t>
  </si>
  <si>
    <t>Income Statement</t>
  </si>
  <si>
    <t>Consistent growth rate from 2022</t>
  </si>
  <si>
    <t>Kept similar to cash interest in the cash flow statement</t>
  </si>
  <si>
    <t>PBT</t>
  </si>
  <si>
    <t>Based on the historical margin from EBIT</t>
  </si>
  <si>
    <t>Based on the effective income tax rate multiplied by Profit Before Tax</t>
  </si>
  <si>
    <t>Tax rate %</t>
  </si>
  <si>
    <t>2023 Annual Report pg76, The increase was primarily due to decreased benefits from stock-based compensation and the prior year recognition of a non-cash, one-time benefit related to the onshoring of the Company's non-U.S. intangible property. During the fourth quarter of fiscal 2022, the Company onshored certain non-U.S. intangible property ownership rights and implemented changes in the Company's legal entity structure. The tax restructuring increases the possibility that foreign earnings in future periods will be subject to tax in the U.S. due to Subpart F of the Internal Revenue Code. The Company recognized a deferred tax asset and corresponding non-cash deferred income tax benefit of 4.7%, to establish the deferred tax deduction that is expected to reduce taxable income in future periods.</t>
  </si>
  <si>
    <t>Net Income</t>
  </si>
  <si>
    <t>Diluted number of shares</t>
  </si>
  <si>
    <t>EPS</t>
  </si>
  <si>
    <t>DPS</t>
  </si>
  <si>
    <t>Based on forecasted payout ratio and linked to net income and earnings per share. 1,611 million diluted shares taken from 2022 staying the same.</t>
  </si>
  <si>
    <t>Assuming no forward or reverse stock splits then the growth rate may decrease although quarterly dividends paid increases.</t>
  </si>
  <si>
    <t>Payout ratio%</t>
  </si>
  <si>
    <t>The payout ratio remains relatively similar when assuming no forward or reverse stock splits</t>
  </si>
  <si>
    <t>Balance Sheet</t>
  </si>
  <si>
    <t>Cash and Cash Equivalents</t>
  </si>
  <si>
    <t>The company’s available for debt-securities slowly decreasing from May 2021</t>
  </si>
  <si>
    <t>Other Items Included in Net Debt</t>
  </si>
  <si>
    <t>Net Working Capital</t>
  </si>
  <si>
    <t>Based off the consistent 19% of revenue from the historical average</t>
  </si>
  <si>
    <t>As a % of revenue</t>
  </si>
  <si>
    <t>Other Current Assets</t>
  </si>
  <si>
    <t>Property Plant and Equipment</t>
  </si>
  <si>
    <t>Intangible Assets</t>
  </si>
  <si>
    <t xml:space="preserve">2022 Annual Report, pg142, Goodwill was $284 million and $242 million as of May 31, 2022 and 2021, respectively, and there were no accumulated
impairment losses as of May 31, 2022 and 2021. Additionally, the impact to Goodwill during fiscal 2022 and 2021 as a result of
acquisitions and divestitures was not material.
</t>
  </si>
  <si>
    <t>Other Assets</t>
  </si>
  <si>
    <t>Total Assets</t>
  </si>
  <si>
    <t>Current Borrowings</t>
  </si>
  <si>
    <t>2022 form 10-K pg121, To date, we have not experienced difficulty accessing the credit markets; however, future volatility in the capital markets may
increase costs associated with issuing commercial paper or other debt instruments or affect our ability to access those markets</t>
  </si>
  <si>
    <t>2022 10K pg146,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 As of and for the periods ended May 31, 2022 and 2021, no amounts were outstanding under any of the Company's committed credit facilities</t>
  </si>
  <si>
    <t>Other Current Liabilities</t>
  </si>
  <si>
    <t>Other non-current Liabilities</t>
  </si>
  <si>
    <t>Equity</t>
  </si>
  <si>
    <t>Common stock</t>
  </si>
  <si>
    <t>Retained Earnings</t>
  </si>
  <si>
    <t>Forecasted on net income minus the dividends paid to shareholders</t>
  </si>
  <si>
    <t>Other Components of Equity</t>
  </si>
  <si>
    <t>Total Liabilities and Equity</t>
  </si>
  <si>
    <t>Check</t>
  </si>
  <si>
    <t>Cash flow</t>
  </si>
  <si>
    <t>Cash Tax</t>
  </si>
  <si>
    <t>2022 10K pg 148, both tax benefits and income benefits from 2022 were rescinded for 2023 onwards</t>
  </si>
  <si>
    <t>NOPAT</t>
  </si>
  <si>
    <t>Cash Interest</t>
  </si>
  <si>
    <t>(Increase)/Decrease in Working Capital</t>
  </si>
  <si>
    <t>FCFF</t>
  </si>
  <si>
    <t>Other Operating Activities</t>
  </si>
  <si>
    <t>CFO</t>
  </si>
  <si>
    <t xml:space="preserve">. The net change in working capital and other assets and liabilities resulted in a decrease to Cash provided (used) by operations of $1,660 million for fiscal 2022, compared to an increase of $45 million for fiscal 2021. The net change in working capital was unfavorably impacted by a $2,183 million increase in Inventories, partially offset by a favorable impact from a $1,102 million decrease in Accounts receivable. These changes were, in part, due to supply chain constraints, which caused higher levels of in-transit inventory and therefore a lower supply of available inventory to meet consumer demand. </t>
  </si>
  <si>
    <t xml:space="preserve">Acquisitions </t>
  </si>
  <si>
    <t>Other Investing Activities</t>
  </si>
  <si>
    <t>CFI</t>
  </si>
  <si>
    <t xml:space="preserve">2022 annual report pg 120,Cash provided (used) by investing activities was an outflow of $1,524 million for fiscal 2022, compared to an outflow of $3,800 million for fiscal 2021, primarily driven by the net change in short-term investments. During fiscal 2022, the net change in shortterm investments (including sales, maturities and purchases) resulted in a cash outflow of $747 million compared to a cash outflow of $3,276 million in fiscal 2021. Additionally, during fiscal 2022, we continued investing in our infrastructure to support future growth, specifically focused around digital capabilities, our end-to-end technology foundation, our corporate facilities and improvements across our supply chain. In future periods, we expect to make annual capital expenditures of approximately 3% of annual revenues. </t>
  </si>
  <si>
    <t>Share Issuance/Buybacks</t>
  </si>
  <si>
    <t xml:space="preserve">In June 2018, the Board of Directors approved a four-year, $15 billion share repurchase program. As of May 31, 2022, the Company had repurchased a total of 77.4 million shares at an average price of $111.98 per share for a total approximate cost of $8.7 billion under this program. In June 2022, the Board of Directors authorized a new four-year, $18 billion program to repurchase shares of the Company's Class B common stock. The Company's new program will replace the current $15 billion share repurchase program, which will be terminated in fiscal 2023. </t>
  </si>
  <si>
    <t>Dividends Paid to Shareholders</t>
  </si>
  <si>
    <t>1,611 million diluted shares taken from 2022 staying the same but multiplied by the forecasted DPS based on forecasted net income and EPS. Assumed same rate of growth for dividends.</t>
  </si>
  <si>
    <t>Borrowings</t>
  </si>
  <si>
    <t>2022 annual report pg 146, note 7, Liquidity is also provided by our $3 billion commercial paper program. As of and for the fiscal year ended May 31, 2022, we did
not have any borrowings outstanding under our $3 billion program. As of May 31, 2021, we had no commercial paper
Outstanding.</t>
  </si>
  <si>
    <t>Other Financing Activities</t>
  </si>
  <si>
    <t>CFF</t>
  </si>
  <si>
    <t xml:space="preserve">2022 annual report pg 120, Cash provided (used) by financing activities was an outflow of $4,836 million for fiscal 2022 compared to an outflow of $1,459 million for fiscal 2021. This change was driven by our resumption of the share repurchase program in the fourth quarter of fiscal 2021, resulting in $4,014 million of share repurchases during fiscal 2022 compared to $608 million during fiscal 2021. </t>
  </si>
  <si>
    <t>Other Adjustments</t>
  </si>
  <si>
    <t>Net Change in Cash</t>
  </si>
  <si>
    <t>Opening Cash</t>
  </si>
  <si>
    <t>Closing Cash</t>
  </si>
  <si>
    <t>Net Debt (Cash)</t>
  </si>
  <si>
    <t>1 year Average share price - Sourced from Yahoo finance</t>
  </si>
  <si>
    <t>$4.5 billion repurchase programme each year for 4 years from 2023 to 2027</t>
  </si>
  <si>
    <t>Approximately 40 million shares each year, 0.025% of entire company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</si>
</sst>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_-;_-@_-"/>
    <numFmt numFmtId="165" formatCode="_(* #,##0.00_);_(* \(#,##0.00\);_(* \-??_);_(@_)"/>
    <numFmt numFmtId="166" formatCode="_(* #,##0_);_(* \(#,##0\);_(* \-??_);_(@_)"/>
    <numFmt numFmtId="167" formatCode="0.0%"/>
    <numFmt numFmtId="168" formatCode="#,##0.0"/>
    <numFmt numFmtId="169" formatCode="* 0\ ;* \(0\);* \-#\ ;@\ "/>
  </numFmts>
  <fonts count="15" x14ac:knownFonts="1">
    <font>
      <sz val="11"/>
      <color rgb="FF000000"/>
      <name val="Calibri"/>
      <family val="2"/>
      <charset val="1"/>
    </font>
    <font>
      <b/>
      <sz val="18"/>
      <color rgb="FFFFFFFF"/>
      <name val="Calibri"/>
      <family val="2"/>
      <charset val="1"/>
    </font>
    <font>
      <b/>
      <sz val="11"/>
      <color rgb="FF000000"/>
      <name val="Calibri"/>
      <family val="2"/>
      <charset val="1"/>
    </font>
    <font>
      <b/>
      <sz val="16"/>
      <color rgb="FFFFFFFF"/>
      <name val="Calibri"/>
      <family val="2"/>
      <charset val="1"/>
    </font>
    <font>
      <sz val="11"/>
      <color rgb="FFFFFFFF"/>
      <name val="Calibri"/>
      <family val="2"/>
      <charset val="1"/>
    </font>
    <font>
      <b/>
      <sz val="11"/>
      <color rgb="FFFFFFFF"/>
      <name val="Calibri"/>
      <family val="2"/>
      <charset val="1"/>
    </font>
    <font>
      <b/>
      <sz val="11"/>
      <color rgb="FFFF0000"/>
      <name val="Calibri"/>
      <family val="2"/>
      <charset val="1"/>
    </font>
    <font>
      <b/>
      <i/>
      <sz val="10"/>
      <color rgb="FF000000"/>
      <name val="Calibri"/>
      <family val="2"/>
      <charset val="1"/>
    </font>
    <font>
      <i/>
      <sz val="10"/>
      <color rgb="FF000000"/>
      <name val="Calibri"/>
      <family val="2"/>
      <charset val="1"/>
    </font>
    <font>
      <sz val="9"/>
      <color rgb="FF000000"/>
      <name val="Tahoma"/>
      <family val="2"/>
      <charset val="1"/>
    </font>
    <font>
      <i/>
      <sz val="9"/>
      <color rgb="FF000000"/>
      <name val="Calibri"/>
      <family val="2"/>
      <charset val="1"/>
    </font>
    <font>
      <i/>
      <sz val="10"/>
      <color rgb="FF002060"/>
      <name val="Calibri"/>
      <family val="2"/>
      <charset val="1"/>
    </font>
    <font>
      <i/>
      <sz val="9"/>
      <color rgb="FF0070C0"/>
      <name val="Calibri"/>
      <family val="2"/>
      <charset val="1"/>
    </font>
    <font>
      <b/>
      <sz val="11"/>
      <color rgb="FFC9211E"/>
      <name val="Calibri"/>
      <family val="2"/>
      <charset val="1"/>
    </font>
    <font>
      <sz val="11"/>
      <color rgb="FF000000"/>
      <name val="Calibri"/>
      <family val="2"/>
      <charset val="1"/>
    </font>
  </fonts>
  <fills count="10">
    <fill>
      <patternFill patternType="none"/>
    </fill>
    <fill>
      <patternFill patternType="gray125"/>
    </fill>
    <fill>
      <patternFill patternType="solid">
        <fgColor rgb="FF4472C4"/>
        <bgColor rgb="FF666699"/>
      </patternFill>
    </fill>
    <fill>
      <patternFill patternType="solid">
        <fgColor rgb="FF8FAADC"/>
        <bgColor rgb="FFADB9CA"/>
      </patternFill>
    </fill>
    <fill>
      <patternFill patternType="solid">
        <fgColor rgb="FF002060"/>
        <bgColor rgb="FF000080"/>
      </patternFill>
    </fill>
    <fill>
      <patternFill patternType="solid">
        <fgColor rgb="FFADB9CA"/>
        <bgColor rgb="FF8FAADC"/>
      </patternFill>
    </fill>
    <fill>
      <patternFill patternType="solid">
        <fgColor rgb="FF8497B0"/>
        <bgColor rgb="FF8FAADC"/>
      </patternFill>
    </fill>
    <fill>
      <patternFill patternType="solid">
        <fgColor rgb="FFEDEDED"/>
        <bgColor rgb="FFDAE3F3"/>
      </patternFill>
    </fill>
    <fill>
      <patternFill patternType="solid">
        <fgColor rgb="FFFFFF00"/>
        <bgColor rgb="FFFFFF00"/>
      </patternFill>
    </fill>
    <fill>
      <patternFill patternType="solid">
        <fgColor rgb="FFDAE3F3"/>
        <bgColor rgb="FFEDEDED"/>
      </patternFill>
    </fill>
  </fills>
  <borders count="6">
    <border>
      <left/>
      <right/>
      <top/>
      <bottom/>
      <diagonal/>
    </border>
    <border>
      <left/>
      <right/>
      <top/>
      <bottom style="thin">
        <color auto="1"/>
      </bottom>
      <diagonal/>
    </border>
    <border>
      <left/>
      <right/>
      <top style="thin">
        <color auto="1"/>
      </top>
      <bottom/>
      <diagonal/>
    </border>
    <border>
      <left/>
      <right/>
      <top style="thin">
        <color auto="1"/>
      </top>
      <bottom style="double">
        <color auto="1"/>
      </bottom>
      <diagonal/>
    </border>
    <border>
      <left/>
      <right/>
      <top style="thin">
        <color auto="1"/>
      </top>
      <bottom style="thin">
        <color auto="1"/>
      </bottom>
      <diagonal/>
    </border>
    <border>
      <left/>
      <right/>
      <top style="hair">
        <color auto="1"/>
      </top>
      <bottom/>
      <diagonal/>
    </border>
  </borders>
  <cellStyleXfs count="6">
    <xf numFmtId="0" fontId="0" fillId="0" borderId="0"/>
    <xf numFmtId="165" fontId="14" fillId="0" borderId="0" applyBorder="0" applyProtection="0"/>
    <xf numFmtId="9" fontId="14" fillId="0" borderId="0" applyBorder="0" applyProtection="0"/>
    <xf numFmtId="164" fontId="14" fillId="0" borderId="0" applyBorder="0" applyProtection="0"/>
    <xf numFmtId="0" fontId="4" fillId="2" borderId="0" applyBorder="0" applyProtection="0"/>
    <xf numFmtId="0" fontId="4" fillId="3" borderId="0" applyBorder="0" applyProtection="0"/>
  </cellStyleXfs>
  <cellXfs count="73">
    <xf numFmtId="0" fontId="0" fillId="0" borderId="0" xfId="0"/>
    <xf numFmtId="0" fontId="0" fillId="0" borderId="0" xfId="0" applyAlignment="1">
      <alignment wrapText="1"/>
    </xf>
    <xf numFmtId="0" fontId="1" fillId="4" borderId="0" xfId="0" applyFont="1" applyFill="1" applyAlignment="1">
      <alignment wrapText="1"/>
    </xf>
    <xf numFmtId="0" fontId="2" fillId="0" borderId="0" xfId="0" applyFont="1"/>
    <xf numFmtId="0" fontId="0" fillId="0" borderId="0" xfId="0" applyAlignment="1">
      <alignment horizontal="left" indent="1"/>
    </xf>
    <xf numFmtId="0" fontId="3" fillId="4" borderId="0" xfId="0" applyFont="1" applyFill="1" applyAlignment="1">
      <alignment vertical="center" wrapText="1"/>
    </xf>
    <xf numFmtId="0" fontId="5" fillId="4" borderId="0" xfId="0" applyFont="1" applyFill="1" applyAlignment="1">
      <alignment horizontal="right"/>
    </xf>
    <xf numFmtId="166" fontId="14" fillId="0" borderId="0" xfId="1" applyNumberFormat="1" applyBorder="1" applyProtection="1"/>
    <xf numFmtId="0" fontId="0" fillId="0" borderId="1" xfId="0" applyBorder="1"/>
    <xf numFmtId="166" fontId="14" fillId="0" borderId="1" xfId="1" applyNumberFormat="1" applyBorder="1" applyProtection="1"/>
    <xf numFmtId="166" fontId="2" fillId="0" borderId="0" xfId="1" applyNumberFormat="1" applyFont="1" applyBorder="1" applyProtection="1"/>
    <xf numFmtId="0" fontId="0" fillId="0" borderId="0" xfId="0" applyAlignment="1">
      <alignment horizontal="left" indent="2"/>
    </xf>
    <xf numFmtId="0" fontId="0" fillId="0" borderId="2" xfId="0" applyBorder="1" applyAlignment="1">
      <alignment horizontal="left" indent="1"/>
    </xf>
    <xf numFmtId="166" fontId="14" fillId="0" borderId="2" xfId="1" applyNumberFormat="1" applyBorder="1" applyProtection="1"/>
    <xf numFmtId="0" fontId="2" fillId="0" borderId="2" xfId="0" applyFont="1" applyBorder="1"/>
    <xf numFmtId="166" fontId="2" fillId="0" borderId="2" xfId="1" applyNumberFormat="1" applyFont="1" applyBorder="1" applyProtection="1"/>
    <xf numFmtId="0" fontId="2" fillId="0" borderId="3" xfId="0" applyFont="1" applyBorder="1"/>
    <xf numFmtId="166" fontId="2" fillId="0" borderId="3" xfId="1" applyNumberFormat="1" applyFont="1" applyBorder="1" applyProtection="1"/>
    <xf numFmtId="3" fontId="0" fillId="0" borderId="0" xfId="0" applyNumberFormat="1"/>
    <xf numFmtId="0" fontId="6" fillId="0" borderId="0" xfId="0" applyFont="1"/>
    <xf numFmtId="166" fontId="6" fillId="0" borderId="0" xfId="0" applyNumberFormat="1" applyFont="1"/>
    <xf numFmtId="0" fontId="2" fillId="5" borderId="0" xfId="0" applyFont="1" applyFill="1" applyAlignment="1">
      <alignment horizontal="center"/>
    </xf>
    <xf numFmtId="0" fontId="2" fillId="0" borderId="0" xfId="0" applyFont="1" applyAlignment="1">
      <alignment horizontal="left" indent="1"/>
    </xf>
    <xf numFmtId="0" fontId="0" fillId="0" borderId="0" xfId="0" applyAlignment="1">
      <alignment horizontal="left" indent="3"/>
    </xf>
    <xf numFmtId="0" fontId="2" fillId="0" borderId="4" xfId="0" applyFont="1" applyBorder="1" applyAlignment="1">
      <alignment horizontal="left"/>
    </xf>
    <xf numFmtId="166" fontId="2" fillId="0" borderId="4" xfId="1" applyNumberFormat="1" applyFont="1" applyBorder="1" applyProtection="1"/>
    <xf numFmtId="0" fontId="2" fillId="0" borderId="4" xfId="0" applyFont="1" applyBorder="1"/>
    <xf numFmtId="0" fontId="2" fillId="0" borderId="0" xfId="0" applyFont="1" applyAlignment="1">
      <alignment horizontal="left"/>
    </xf>
    <xf numFmtId="0" fontId="7" fillId="0" borderId="0" xfId="0" applyFont="1" applyAlignment="1">
      <alignment horizontal="left" indent="1"/>
    </xf>
    <xf numFmtId="167" fontId="7" fillId="0" borderId="0" xfId="2" applyNumberFormat="1" applyFont="1" applyBorder="1" applyProtection="1"/>
    <xf numFmtId="0" fontId="8" fillId="0" borderId="0" xfId="0" applyFont="1" applyAlignment="1">
      <alignment horizontal="left" indent="2"/>
    </xf>
    <xf numFmtId="167" fontId="8" fillId="0" borderId="0" xfId="2" applyNumberFormat="1" applyFont="1" applyBorder="1" applyProtection="1"/>
    <xf numFmtId="167" fontId="7" fillId="0" borderId="1" xfId="2" applyNumberFormat="1" applyFont="1" applyBorder="1" applyProtection="1"/>
    <xf numFmtId="0" fontId="8" fillId="0" borderId="2" xfId="0" applyFont="1" applyBorder="1"/>
    <xf numFmtId="167" fontId="7" fillId="0" borderId="2" xfId="2" applyNumberFormat="1" applyFont="1" applyBorder="1" applyProtection="1"/>
    <xf numFmtId="167" fontId="8" fillId="0" borderId="2" xfId="2" applyNumberFormat="1" applyFont="1" applyBorder="1" applyProtection="1"/>
    <xf numFmtId="0" fontId="8" fillId="0" borderId="0" xfId="0" applyFont="1" applyAlignment="1">
      <alignment horizontal="left" indent="1"/>
    </xf>
    <xf numFmtId="0" fontId="7" fillId="0" borderId="3" xfId="0" applyFont="1" applyBorder="1"/>
    <xf numFmtId="167" fontId="7" fillId="0" borderId="3" xfId="2" applyNumberFormat="1" applyFont="1" applyBorder="1" applyProtection="1"/>
    <xf numFmtId="0" fontId="2" fillId="6" borderId="0" xfId="0" applyFont="1" applyFill="1"/>
    <xf numFmtId="166" fontId="5" fillId="2" borderId="0" xfId="4" applyNumberFormat="1" applyFont="1" applyBorder="1" applyAlignment="1" applyProtection="1">
      <alignment horizontal="left"/>
    </xf>
    <xf numFmtId="4" fontId="2" fillId="6" borderId="0" xfId="0" applyNumberFormat="1" applyFont="1" applyFill="1"/>
    <xf numFmtId="166" fontId="10" fillId="0" borderId="0" xfId="1" applyNumberFormat="1" applyFont="1" applyBorder="1" applyAlignment="1" applyProtection="1">
      <alignment horizontal="left" indent="1"/>
    </xf>
    <xf numFmtId="167" fontId="8" fillId="0" borderId="0" xfId="2" applyNumberFormat="1" applyFont="1" applyBorder="1" applyAlignment="1" applyProtection="1">
      <alignment horizontal="right"/>
    </xf>
    <xf numFmtId="168" fontId="2" fillId="0" borderId="0" xfId="0" applyNumberFormat="1" applyFont="1"/>
    <xf numFmtId="10" fontId="0" fillId="0" borderId="0" xfId="0" applyNumberFormat="1"/>
    <xf numFmtId="166" fontId="2" fillId="3" borderId="0" xfId="5" applyNumberFormat="1" applyFont="1" applyBorder="1" applyProtection="1"/>
    <xf numFmtId="166" fontId="10" fillId="0" borderId="0" xfId="1" applyNumberFormat="1" applyFont="1" applyBorder="1" applyAlignment="1" applyProtection="1">
      <alignment horizontal="left" indent="2"/>
    </xf>
    <xf numFmtId="166" fontId="14" fillId="0" borderId="0" xfId="1" applyNumberFormat="1" applyBorder="1" applyAlignment="1" applyProtection="1">
      <alignment horizontal="left" indent="1"/>
    </xf>
    <xf numFmtId="167" fontId="11" fillId="7" borderId="0" xfId="2" applyNumberFormat="1" applyFont="1" applyFill="1" applyBorder="1" applyProtection="1"/>
    <xf numFmtId="166" fontId="14" fillId="8" borderId="0" xfId="1" applyNumberFormat="1" applyFill="1" applyBorder="1" applyProtection="1"/>
    <xf numFmtId="166" fontId="2" fillId="0" borderId="0" xfId="0" applyNumberFormat="1" applyFont="1"/>
    <xf numFmtId="4" fontId="2" fillId="0" borderId="0" xfId="0" applyNumberFormat="1" applyFont="1"/>
    <xf numFmtId="167" fontId="0" fillId="0" borderId="0" xfId="0" applyNumberFormat="1"/>
    <xf numFmtId="4" fontId="0" fillId="0" borderId="0" xfId="0" applyNumberFormat="1"/>
    <xf numFmtId="3" fontId="2" fillId="0" borderId="0" xfId="0" applyNumberFormat="1" applyFont="1"/>
    <xf numFmtId="166" fontId="0" fillId="0" borderId="0" xfId="0" applyNumberFormat="1"/>
    <xf numFmtId="168" fontId="0" fillId="0" borderId="0" xfId="0" applyNumberFormat="1"/>
    <xf numFmtId="166" fontId="2" fillId="0" borderId="0" xfId="5" applyNumberFormat="1" applyFont="1" applyFill="1" applyBorder="1" applyProtection="1"/>
    <xf numFmtId="0" fontId="3" fillId="4" borderId="0" xfId="0" applyFont="1" applyFill="1" applyAlignment="1">
      <alignment horizontal="center"/>
    </xf>
    <xf numFmtId="167" fontId="10" fillId="0" borderId="0" xfId="2" applyNumberFormat="1" applyFont="1" applyBorder="1" applyAlignment="1" applyProtection="1">
      <alignment horizontal="right"/>
    </xf>
    <xf numFmtId="166" fontId="14" fillId="0" borderId="0" xfId="1" applyNumberFormat="1" applyBorder="1" applyAlignment="1" applyProtection="1">
      <alignment horizontal="left"/>
    </xf>
    <xf numFmtId="169" fontId="2" fillId="0" borderId="5" xfId="1" applyNumberFormat="1" applyFont="1" applyBorder="1" applyProtection="1"/>
    <xf numFmtId="166" fontId="10" fillId="0" borderId="0" xfId="1" applyNumberFormat="1" applyFont="1" applyBorder="1" applyAlignment="1" applyProtection="1">
      <alignment horizontal="left"/>
    </xf>
    <xf numFmtId="167" fontId="12" fillId="9" borderId="0" xfId="2" applyNumberFormat="1" applyFont="1" applyFill="1" applyBorder="1" applyProtection="1"/>
    <xf numFmtId="165" fontId="14" fillId="0" borderId="0" xfId="1" applyBorder="1" applyProtection="1"/>
    <xf numFmtId="0" fontId="5" fillId="2" borderId="0" xfId="4" applyFont="1" applyBorder="1" applyProtection="1"/>
    <xf numFmtId="0" fontId="0" fillId="0" borderId="0" xfId="0" applyAlignment="1">
      <alignment horizontal="left"/>
    </xf>
    <xf numFmtId="165" fontId="6" fillId="0" borderId="0" xfId="1" applyFont="1" applyBorder="1" applyProtection="1"/>
    <xf numFmtId="169" fontId="14" fillId="0" borderId="0" xfId="1" applyNumberFormat="1" applyBorder="1" applyProtection="1"/>
    <xf numFmtId="166" fontId="13" fillId="0" borderId="0" xfId="1" applyNumberFormat="1" applyFont="1" applyBorder="1" applyProtection="1"/>
    <xf numFmtId="2" fontId="0" fillId="0" borderId="0" xfId="0" applyNumberFormat="1"/>
    <xf numFmtId="166" fontId="14" fillId="0" borderId="0" xfId="1" applyNumberFormat="1"/>
  </cellXfs>
  <cellStyles count="6">
    <cellStyle name="Comma" xfId="1" builtinId="3"/>
    <cellStyle name="Comma 2" xfId="3" xr:uid="{00000000-0005-0000-0000-000006000000}"/>
    <cellStyle name="Excel Built-in 60% - Accent1" xfId="5" xr:uid="{00000000-0005-0000-0000-000008000000}"/>
    <cellStyle name="Excel Built-in Accent1" xfId="4" xr:uid="{00000000-0005-0000-0000-000007000000}"/>
    <cellStyle name="Normal" xfId="0" builtinId="0"/>
    <cellStyle name="Percent" xfId="2"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8FAADC"/>
      <rgbColor rgb="FF993366"/>
      <rgbColor rgb="FFEDEDED"/>
      <rgbColor rgb="FFCCFFFF"/>
      <rgbColor rgb="FF660066"/>
      <rgbColor rgb="FFFF8080"/>
      <rgbColor rgb="FF0070C0"/>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8497B0"/>
      <rgbColor rgb="FF002060"/>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zoomScale="80" zoomScaleNormal="80" workbookViewId="0">
      <selection activeCell="A9" sqref="A9"/>
    </sheetView>
  </sheetViews>
  <sheetFormatPr defaultColWidth="8.7109375" defaultRowHeight="15" x14ac:dyDescent="0.25"/>
  <cols>
    <col min="1" max="1" width="176.140625" style="1" customWidth="1"/>
  </cols>
  <sheetData>
    <row r="1" spans="1:1" ht="23.25" x14ac:dyDescent="0.35">
      <c r="A1" s="2" t="s">
        <v>0</v>
      </c>
    </row>
    <row r="2" spans="1:1" x14ac:dyDescent="0.25">
      <c r="A2" s="3" t="s">
        <v>1</v>
      </c>
    </row>
    <row r="3" spans="1:1" x14ac:dyDescent="0.25">
      <c r="A3" t="s">
        <v>2</v>
      </c>
    </row>
    <row r="4" spans="1:1" x14ac:dyDescent="0.25">
      <c r="A4" t="s">
        <v>3</v>
      </c>
    </row>
    <row r="5" spans="1:1" x14ac:dyDescent="0.25">
      <c r="A5" t="s">
        <v>4</v>
      </c>
    </row>
    <row r="6" spans="1:1" x14ac:dyDescent="0.25">
      <c r="A6" t="s">
        <v>5</v>
      </c>
    </row>
    <row r="7" spans="1:1" x14ac:dyDescent="0.25">
      <c r="A7" t="s">
        <v>6</v>
      </c>
    </row>
    <row r="8" spans="1:1" x14ac:dyDescent="0.25">
      <c r="A8" s="4" t="s">
        <v>7</v>
      </c>
    </row>
    <row r="9" spans="1:1" x14ac:dyDescent="0.25">
      <c r="A9" t="s">
        <v>8</v>
      </c>
    </row>
    <row r="10" spans="1:1" x14ac:dyDescent="0.25">
      <c r="A10"/>
    </row>
    <row r="11" spans="1:1" x14ac:dyDescent="0.25">
      <c r="A11" t="s">
        <v>9</v>
      </c>
    </row>
    <row r="12" spans="1:1" x14ac:dyDescent="0.25">
      <c r="A12" t="s">
        <v>10</v>
      </c>
    </row>
    <row r="13" spans="1:1" x14ac:dyDescent="0.25">
      <c r="A13"/>
    </row>
    <row r="14" spans="1:1" x14ac:dyDescent="0.25">
      <c r="A14"/>
    </row>
    <row r="15" spans="1:1" x14ac:dyDescent="0.25">
      <c r="A15"/>
    </row>
    <row r="16" spans="1:1" x14ac:dyDescent="0.25">
      <c r="A16"/>
    </row>
    <row r="17" spans="1:1" x14ac:dyDescent="0.25">
      <c r="A17"/>
    </row>
    <row r="18" spans="1:1" x14ac:dyDescent="0.25">
      <c r="A18"/>
    </row>
    <row r="19" spans="1:1" x14ac:dyDescent="0.25">
      <c r="A19"/>
    </row>
    <row r="20" spans="1:1" x14ac:dyDescent="0.25">
      <c r="A20"/>
    </row>
    <row r="21" spans="1:1" x14ac:dyDescent="0.25">
      <c r="A21"/>
    </row>
    <row r="22" spans="1:1" x14ac:dyDescent="0.25">
      <c r="A22"/>
    </row>
    <row r="23" spans="1:1" x14ac:dyDescent="0.25">
      <c r="A23"/>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3"/>
  <sheetViews>
    <sheetView zoomScale="80" zoomScaleNormal="80" workbookViewId="0">
      <pane ySplit="1" topLeftCell="A5" activePane="bottomLeft" state="frozen"/>
      <selection pane="bottomLeft" activeCell="B15" sqref="B15"/>
    </sheetView>
  </sheetViews>
  <sheetFormatPr defaultColWidth="8.7109375" defaultRowHeight="15" x14ac:dyDescent="0.25"/>
  <cols>
    <col min="1" max="1" width="78.140625" customWidth="1"/>
    <col min="2" max="7" width="9" customWidth="1"/>
    <col min="8" max="8" width="10.42578125" customWidth="1"/>
    <col min="9" max="9" width="10.7109375" customWidth="1"/>
  </cols>
  <sheetData>
    <row r="1" spans="1:9" ht="60" customHeight="1" x14ac:dyDescent="0.25">
      <c r="A1" s="5" t="s">
        <v>11</v>
      </c>
      <c r="B1" s="6">
        <f t="shared" ref="B1:H1" si="0">+C1-1</f>
        <v>2015</v>
      </c>
      <c r="C1" s="6">
        <f t="shared" si="0"/>
        <v>2016</v>
      </c>
      <c r="D1" s="6">
        <f t="shared" si="0"/>
        <v>2017</v>
      </c>
      <c r="E1" s="6">
        <f t="shared" si="0"/>
        <v>2018</v>
      </c>
      <c r="F1" s="6">
        <f t="shared" si="0"/>
        <v>2019</v>
      </c>
      <c r="G1" s="6">
        <f t="shared" si="0"/>
        <v>2020</v>
      </c>
      <c r="H1" s="6">
        <f t="shared" si="0"/>
        <v>2021</v>
      </c>
      <c r="I1" s="6">
        <v>2022</v>
      </c>
    </row>
    <row r="2" spans="1:9" x14ac:dyDescent="0.25">
      <c r="A2" t="s">
        <v>12</v>
      </c>
      <c r="B2" s="7">
        <v>30601</v>
      </c>
      <c r="C2" s="7">
        <v>32376</v>
      </c>
      <c r="D2" s="7">
        <v>34350</v>
      </c>
      <c r="E2" s="7">
        <f>36397</f>
        <v>36397</v>
      </c>
      <c r="F2" s="7">
        <v>39117</v>
      </c>
      <c r="G2" s="7">
        <f>37403</f>
        <v>37403</v>
      </c>
      <c r="H2" s="7">
        <v>44538</v>
      </c>
      <c r="I2" s="7">
        <v>46710</v>
      </c>
    </row>
    <row r="3" spans="1:9" x14ac:dyDescent="0.25">
      <c r="A3" s="8" t="s">
        <v>13</v>
      </c>
      <c r="B3" s="9">
        <v>16534</v>
      </c>
      <c r="C3" s="9">
        <v>17405</v>
      </c>
      <c r="D3" s="9">
        <v>19038</v>
      </c>
      <c r="E3" s="9">
        <v>20441</v>
      </c>
      <c r="F3" s="9">
        <v>21643</v>
      </c>
      <c r="G3" s="9">
        <v>21162</v>
      </c>
      <c r="H3" s="9">
        <v>24576</v>
      </c>
      <c r="I3" s="9">
        <v>25231</v>
      </c>
    </row>
    <row r="4" spans="1:9" s="3" customFormat="1" x14ac:dyDescent="0.25">
      <c r="A4" s="3" t="s">
        <v>14</v>
      </c>
      <c r="B4" s="10">
        <f t="shared" ref="B4:I4" si="1">+B2-B3</f>
        <v>14067</v>
      </c>
      <c r="C4" s="10">
        <f t="shared" si="1"/>
        <v>14971</v>
      </c>
      <c r="D4" s="10">
        <f t="shared" si="1"/>
        <v>15312</v>
      </c>
      <c r="E4" s="10">
        <f t="shared" si="1"/>
        <v>15956</v>
      </c>
      <c r="F4" s="10">
        <f t="shared" si="1"/>
        <v>17474</v>
      </c>
      <c r="G4" s="10">
        <f t="shared" si="1"/>
        <v>16241</v>
      </c>
      <c r="H4" s="10">
        <f t="shared" si="1"/>
        <v>19962</v>
      </c>
      <c r="I4" s="10">
        <f t="shared" si="1"/>
        <v>21479</v>
      </c>
    </row>
    <row r="5" spans="1:9" x14ac:dyDescent="0.25">
      <c r="A5" s="11" t="s">
        <v>15</v>
      </c>
      <c r="B5" s="7">
        <v>3213</v>
      </c>
      <c r="C5" s="7">
        <v>3278</v>
      </c>
      <c r="D5" s="7">
        <v>3341</v>
      </c>
      <c r="E5" s="7">
        <v>3577</v>
      </c>
      <c r="F5" s="7">
        <v>3753</v>
      </c>
      <c r="G5" s="7">
        <v>3592</v>
      </c>
      <c r="H5" s="7">
        <v>3114</v>
      </c>
      <c r="I5" s="7">
        <v>3850</v>
      </c>
    </row>
    <row r="6" spans="1:9" x14ac:dyDescent="0.25">
      <c r="A6" s="11" t="s">
        <v>16</v>
      </c>
      <c r="B6" s="7">
        <v>6679</v>
      </c>
      <c r="C6" s="7">
        <v>7191</v>
      </c>
      <c r="D6" s="7">
        <v>7222</v>
      </c>
      <c r="E6" s="7">
        <v>7934</v>
      </c>
      <c r="F6" s="7">
        <v>8949</v>
      </c>
      <c r="G6" s="7">
        <v>9534</v>
      </c>
      <c r="H6" s="7">
        <v>9911</v>
      </c>
      <c r="I6" s="7">
        <v>10954</v>
      </c>
    </row>
    <row r="7" spans="1:9" x14ac:dyDescent="0.25">
      <c r="A7" s="12" t="s">
        <v>17</v>
      </c>
      <c r="B7" s="13">
        <f t="shared" ref="B7:I7" si="2">+B5+B6</f>
        <v>9892</v>
      </c>
      <c r="C7" s="13">
        <f t="shared" si="2"/>
        <v>10469</v>
      </c>
      <c r="D7" s="13">
        <f t="shared" si="2"/>
        <v>10563</v>
      </c>
      <c r="E7" s="13">
        <f t="shared" si="2"/>
        <v>11511</v>
      </c>
      <c r="F7" s="13">
        <f t="shared" si="2"/>
        <v>12702</v>
      </c>
      <c r="G7" s="13">
        <f t="shared" si="2"/>
        <v>13126</v>
      </c>
      <c r="H7" s="13">
        <f t="shared" si="2"/>
        <v>13025</v>
      </c>
      <c r="I7" s="13">
        <f t="shared" si="2"/>
        <v>14804</v>
      </c>
    </row>
    <row r="8" spans="1:9" x14ac:dyDescent="0.25">
      <c r="A8" s="4" t="s">
        <v>18</v>
      </c>
      <c r="B8" s="7">
        <v>28</v>
      </c>
      <c r="C8" s="7">
        <v>19</v>
      </c>
      <c r="D8" s="7">
        <v>59</v>
      </c>
      <c r="E8" s="7">
        <v>54</v>
      </c>
      <c r="F8" s="7">
        <v>49</v>
      </c>
      <c r="G8" s="7">
        <v>89</v>
      </c>
      <c r="H8" s="7">
        <v>262</v>
      </c>
      <c r="I8" s="7">
        <v>205</v>
      </c>
    </row>
    <row r="9" spans="1:9" x14ac:dyDescent="0.25">
      <c r="A9" s="4" t="s">
        <v>19</v>
      </c>
      <c r="B9" s="7">
        <v>-58</v>
      </c>
      <c r="C9" s="7">
        <v>-140</v>
      </c>
      <c r="D9" s="7">
        <v>-196</v>
      </c>
      <c r="E9" s="7">
        <v>66</v>
      </c>
      <c r="F9" s="7">
        <v>-78</v>
      </c>
      <c r="G9" s="7">
        <v>139</v>
      </c>
      <c r="H9" s="7">
        <v>14</v>
      </c>
      <c r="I9" s="7">
        <v>-181</v>
      </c>
    </row>
    <row r="10" spans="1:9" x14ac:dyDescent="0.25">
      <c r="A10" s="14" t="s">
        <v>20</v>
      </c>
      <c r="B10" s="15">
        <f t="shared" ref="B10:I10" si="3">+B4-B7-B8-B9</f>
        <v>4205</v>
      </c>
      <c r="C10" s="15">
        <f t="shared" si="3"/>
        <v>4623</v>
      </c>
      <c r="D10" s="15">
        <f t="shared" si="3"/>
        <v>4886</v>
      </c>
      <c r="E10" s="15">
        <f t="shared" si="3"/>
        <v>4325</v>
      </c>
      <c r="F10" s="15">
        <f t="shared" si="3"/>
        <v>4801</v>
      </c>
      <c r="G10" s="15">
        <f t="shared" si="3"/>
        <v>2887</v>
      </c>
      <c r="H10" s="15">
        <f t="shared" si="3"/>
        <v>6661</v>
      </c>
      <c r="I10" s="15">
        <f t="shared" si="3"/>
        <v>6651</v>
      </c>
    </row>
    <row r="11" spans="1:9" x14ac:dyDescent="0.25">
      <c r="A11" s="4" t="s">
        <v>21</v>
      </c>
      <c r="B11" s="7">
        <v>932</v>
      </c>
      <c r="C11" s="7">
        <v>863</v>
      </c>
      <c r="D11" s="7">
        <v>646</v>
      </c>
      <c r="E11" s="7">
        <v>2392</v>
      </c>
      <c r="F11" s="7">
        <v>772</v>
      </c>
      <c r="G11" s="7">
        <v>348</v>
      </c>
      <c r="H11" s="7">
        <v>934</v>
      </c>
      <c r="I11" s="7">
        <v>605</v>
      </c>
    </row>
    <row r="12" spans="1:9" x14ac:dyDescent="0.25">
      <c r="A12" s="16" t="s">
        <v>22</v>
      </c>
      <c r="B12" s="17">
        <f t="shared" ref="B12:I12" si="4">+B10-B11</f>
        <v>3273</v>
      </c>
      <c r="C12" s="17">
        <f t="shared" si="4"/>
        <v>3760</v>
      </c>
      <c r="D12" s="17">
        <f t="shared" si="4"/>
        <v>4240</v>
      </c>
      <c r="E12" s="17">
        <f t="shared" si="4"/>
        <v>1933</v>
      </c>
      <c r="F12" s="17">
        <f t="shared" si="4"/>
        <v>4029</v>
      </c>
      <c r="G12" s="17">
        <f t="shared" si="4"/>
        <v>2539</v>
      </c>
      <c r="H12" s="17">
        <f t="shared" si="4"/>
        <v>5727</v>
      </c>
      <c r="I12" s="17">
        <f t="shared" si="4"/>
        <v>6046</v>
      </c>
    </row>
    <row r="13" spans="1:9" x14ac:dyDescent="0.25">
      <c r="A13" s="3" t="s">
        <v>23</v>
      </c>
    </row>
    <row r="14" spans="1:9" x14ac:dyDescent="0.25">
      <c r="A14" s="4" t="s">
        <v>24</v>
      </c>
      <c r="B14">
        <v>1.9</v>
      </c>
      <c r="C14">
        <v>2.21</v>
      </c>
      <c r="D14">
        <v>2.56</v>
      </c>
      <c r="E14">
        <v>1.19</v>
      </c>
      <c r="F14">
        <v>2.5499999999999998</v>
      </c>
      <c r="G14">
        <v>1.63</v>
      </c>
      <c r="H14">
        <v>3.64</v>
      </c>
      <c r="I14">
        <v>3.83</v>
      </c>
    </row>
    <row r="15" spans="1:9" x14ac:dyDescent="0.25">
      <c r="A15" s="4" t="s">
        <v>25</v>
      </c>
      <c r="B15">
        <v>1.85</v>
      </c>
      <c r="C15">
        <v>2.16</v>
      </c>
      <c r="D15">
        <v>2.5099999999999998</v>
      </c>
      <c r="E15">
        <v>1.17</v>
      </c>
      <c r="F15">
        <v>2.4900000000000002</v>
      </c>
      <c r="G15">
        <v>1.6</v>
      </c>
      <c r="H15">
        <v>3.56</v>
      </c>
      <c r="I15">
        <v>3.75</v>
      </c>
    </row>
    <row r="16" spans="1:9" x14ac:dyDescent="0.25">
      <c r="A16" s="3" t="s">
        <v>26</v>
      </c>
    </row>
    <row r="17" spans="1:10" x14ac:dyDescent="0.25">
      <c r="A17" s="4" t="s">
        <v>24</v>
      </c>
      <c r="B17">
        <v>1723.5</v>
      </c>
      <c r="C17">
        <v>1697.9</v>
      </c>
      <c r="D17">
        <v>1657.8</v>
      </c>
      <c r="E17">
        <v>1623.8</v>
      </c>
      <c r="F17">
        <v>1579.7</v>
      </c>
      <c r="G17" s="18">
        <v>1558.8</v>
      </c>
      <c r="H17" s="18">
        <v>1573</v>
      </c>
      <c r="I17" s="18">
        <v>1578.8</v>
      </c>
    </row>
    <row r="18" spans="1:10" x14ac:dyDescent="0.25">
      <c r="A18" s="4" t="s">
        <v>25</v>
      </c>
      <c r="B18">
        <v>1768.8</v>
      </c>
      <c r="C18">
        <v>1742.5</v>
      </c>
      <c r="D18">
        <v>1692</v>
      </c>
      <c r="E18">
        <v>1659.1</v>
      </c>
      <c r="F18">
        <v>1618.4</v>
      </c>
      <c r="G18" s="18">
        <v>1591.6</v>
      </c>
      <c r="H18" s="18">
        <v>1609.4</v>
      </c>
      <c r="I18" s="18">
        <v>1610.8</v>
      </c>
    </row>
    <row r="20" spans="1:10" s="19" customFormat="1" x14ac:dyDescent="0.25">
      <c r="A20" s="19" t="s">
        <v>27</v>
      </c>
      <c r="B20" s="20">
        <f t="shared" ref="B20:I20" si="5">+ROUND(((B12/B18)-B15),2)</f>
        <v>0</v>
      </c>
      <c r="C20" s="20">
        <f t="shared" si="5"/>
        <v>0</v>
      </c>
      <c r="D20" s="20">
        <f t="shared" si="5"/>
        <v>0</v>
      </c>
      <c r="E20" s="20">
        <f t="shared" si="5"/>
        <v>0</v>
      </c>
      <c r="F20" s="20">
        <f t="shared" si="5"/>
        <v>0</v>
      </c>
      <c r="G20" s="20">
        <f t="shared" si="5"/>
        <v>0</v>
      </c>
      <c r="H20" s="20">
        <f t="shared" si="5"/>
        <v>0</v>
      </c>
      <c r="I20" s="20">
        <f t="shared" si="5"/>
        <v>0</v>
      </c>
    </row>
    <row r="22" spans="1:10" x14ac:dyDescent="0.25">
      <c r="A22" s="21" t="s">
        <v>28</v>
      </c>
      <c r="B22" s="21"/>
      <c r="C22" s="21"/>
      <c r="D22" s="21"/>
      <c r="E22" s="21"/>
      <c r="F22" s="21"/>
      <c r="G22" s="21"/>
      <c r="H22" s="21"/>
      <c r="I22" s="21"/>
    </row>
    <row r="23" spans="1:10" x14ac:dyDescent="0.25">
      <c r="A23" s="3" t="s">
        <v>29</v>
      </c>
    </row>
    <row r="24" spans="1:10" x14ac:dyDescent="0.25">
      <c r="A24" s="22" t="s">
        <v>30</v>
      </c>
      <c r="B24" s="7"/>
      <c r="C24" s="7"/>
      <c r="D24" s="7"/>
      <c r="E24" s="7"/>
      <c r="F24" s="7"/>
      <c r="G24" s="7"/>
      <c r="H24" s="7"/>
      <c r="I24" s="7"/>
    </row>
    <row r="25" spans="1:10" x14ac:dyDescent="0.25">
      <c r="A25" s="11" t="s">
        <v>31</v>
      </c>
      <c r="B25" s="7">
        <v>3852</v>
      </c>
      <c r="C25" s="7">
        <v>3138</v>
      </c>
      <c r="D25" s="7">
        <v>3808</v>
      </c>
      <c r="E25" s="7">
        <v>4249</v>
      </c>
      <c r="F25" s="7">
        <v>4466</v>
      </c>
      <c r="G25" s="7">
        <v>8348</v>
      </c>
      <c r="H25" s="7">
        <v>9889</v>
      </c>
      <c r="I25" s="7">
        <v>8574</v>
      </c>
    </row>
    <row r="26" spans="1:10" x14ac:dyDescent="0.25">
      <c r="A26" s="11" t="s">
        <v>32</v>
      </c>
      <c r="B26" s="7">
        <v>2072</v>
      </c>
      <c r="C26" s="7">
        <v>2319</v>
      </c>
      <c r="D26" s="7">
        <v>2371</v>
      </c>
      <c r="E26" s="7">
        <v>996</v>
      </c>
      <c r="F26" s="7">
        <v>197</v>
      </c>
      <c r="G26" s="7">
        <v>439</v>
      </c>
      <c r="H26" s="7">
        <v>3587</v>
      </c>
      <c r="I26" s="7">
        <v>4423</v>
      </c>
      <c r="J26" t="s">
        <v>33</v>
      </c>
    </row>
    <row r="27" spans="1:10" x14ac:dyDescent="0.25">
      <c r="A27" s="11" t="s">
        <v>34</v>
      </c>
      <c r="B27" s="7">
        <v>3358</v>
      </c>
      <c r="C27" s="7">
        <v>3241</v>
      </c>
      <c r="D27" s="7">
        <v>3677</v>
      </c>
      <c r="E27" s="7">
        <v>3498</v>
      </c>
      <c r="F27" s="7">
        <v>4272</v>
      </c>
      <c r="G27" s="7">
        <v>2749</v>
      </c>
      <c r="H27" s="7">
        <v>4463</v>
      </c>
      <c r="I27" s="7">
        <v>4667</v>
      </c>
      <c r="J27" t="s">
        <v>35</v>
      </c>
    </row>
    <row r="28" spans="1:10" x14ac:dyDescent="0.25">
      <c r="A28" s="11" t="s">
        <v>36</v>
      </c>
      <c r="B28" s="7">
        <v>4337</v>
      </c>
      <c r="C28" s="7">
        <v>4838</v>
      </c>
      <c r="D28" s="7">
        <v>5055</v>
      </c>
      <c r="E28" s="7">
        <v>5261</v>
      </c>
      <c r="F28" s="7">
        <v>5622</v>
      </c>
      <c r="G28" s="7">
        <v>7367</v>
      </c>
      <c r="H28" s="7">
        <v>6854</v>
      </c>
      <c r="I28" s="7">
        <v>8420</v>
      </c>
    </row>
    <row r="29" spans="1:10" x14ac:dyDescent="0.25">
      <c r="A29" s="11" t="s">
        <v>37</v>
      </c>
      <c r="B29" s="7">
        <v>1968</v>
      </c>
      <c r="C29" s="7">
        <v>1489</v>
      </c>
      <c r="D29" s="7">
        <v>1150</v>
      </c>
      <c r="E29" s="7">
        <v>1130</v>
      </c>
      <c r="F29" s="7">
        <v>1968</v>
      </c>
      <c r="G29" s="7">
        <v>1653</v>
      </c>
      <c r="H29" s="7">
        <v>1498</v>
      </c>
      <c r="I29" s="7">
        <v>2129</v>
      </c>
    </row>
    <row r="30" spans="1:10" x14ac:dyDescent="0.25">
      <c r="A30" s="14" t="s">
        <v>38</v>
      </c>
      <c r="B30" s="15">
        <f t="shared" ref="B30:I30" si="6">+SUM(B25:B29)</f>
        <v>15587</v>
      </c>
      <c r="C30" s="15">
        <f t="shared" si="6"/>
        <v>15025</v>
      </c>
      <c r="D30" s="15">
        <f t="shared" si="6"/>
        <v>16061</v>
      </c>
      <c r="E30" s="15">
        <f t="shared" si="6"/>
        <v>15134</v>
      </c>
      <c r="F30" s="15">
        <f t="shared" si="6"/>
        <v>16525</v>
      </c>
      <c r="G30" s="15">
        <f t="shared" si="6"/>
        <v>20556</v>
      </c>
      <c r="H30" s="15">
        <f t="shared" si="6"/>
        <v>26291</v>
      </c>
      <c r="I30" s="15">
        <f t="shared" si="6"/>
        <v>28213</v>
      </c>
    </row>
    <row r="31" spans="1:10" x14ac:dyDescent="0.25">
      <c r="A31" s="4" t="s">
        <v>39</v>
      </c>
      <c r="B31" s="7">
        <v>3011</v>
      </c>
      <c r="C31" s="7">
        <v>3520</v>
      </c>
      <c r="D31" s="7">
        <v>3989</v>
      </c>
      <c r="E31" s="7">
        <v>4454</v>
      </c>
      <c r="F31" s="7">
        <v>4744</v>
      </c>
      <c r="G31" s="7">
        <v>4866</v>
      </c>
      <c r="H31" s="7">
        <v>4904</v>
      </c>
      <c r="I31" s="7">
        <v>4791</v>
      </c>
      <c r="J31" t="s">
        <v>40</v>
      </c>
    </row>
    <row r="32" spans="1:10" x14ac:dyDescent="0.25">
      <c r="A32" s="4" t="s">
        <v>41</v>
      </c>
      <c r="B32" s="7">
        <v>3</v>
      </c>
      <c r="C32" s="7">
        <v>0</v>
      </c>
      <c r="D32" s="7">
        <v>0</v>
      </c>
      <c r="E32" s="7">
        <v>0</v>
      </c>
      <c r="F32" s="7">
        <v>0</v>
      </c>
      <c r="G32" s="7">
        <v>3097</v>
      </c>
      <c r="H32" s="7">
        <v>3113</v>
      </c>
      <c r="I32" s="7">
        <v>2926</v>
      </c>
    </row>
    <row r="33" spans="1:10" x14ac:dyDescent="0.25">
      <c r="A33" s="4" t="s">
        <v>42</v>
      </c>
      <c r="B33" s="7">
        <v>281</v>
      </c>
      <c r="C33" s="7">
        <v>281</v>
      </c>
      <c r="D33" s="7">
        <v>283</v>
      </c>
      <c r="E33" s="7">
        <v>285</v>
      </c>
      <c r="F33" s="7">
        <v>283</v>
      </c>
      <c r="G33" s="7">
        <v>274</v>
      </c>
      <c r="H33" s="7">
        <v>269</v>
      </c>
      <c r="I33" s="7">
        <v>286</v>
      </c>
    </row>
    <row r="34" spans="1:10" x14ac:dyDescent="0.25">
      <c r="A34" s="4" t="s">
        <v>43</v>
      </c>
      <c r="B34" s="7">
        <v>131</v>
      </c>
      <c r="C34" s="7">
        <v>131</v>
      </c>
      <c r="D34" s="7">
        <v>139</v>
      </c>
      <c r="E34" s="7">
        <v>154</v>
      </c>
      <c r="F34" s="7">
        <v>154</v>
      </c>
      <c r="G34" s="7">
        <v>223</v>
      </c>
      <c r="H34" s="7">
        <v>242</v>
      </c>
      <c r="I34" s="7">
        <v>284</v>
      </c>
    </row>
    <row r="35" spans="1:10" x14ac:dyDescent="0.25">
      <c r="A35" s="4" t="s">
        <v>44</v>
      </c>
      <c r="B35" s="7">
        <v>2587</v>
      </c>
      <c r="C35" s="7">
        <v>2439</v>
      </c>
      <c r="D35" s="7">
        <v>2787</v>
      </c>
      <c r="E35" s="7">
        <v>2509</v>
      </c>
      <c r="F35" s="7">
        <v>2011</v>
      </c>
      <c r="G35" s="7">
        <v>2326</v>
      </c>
      <c r="H35" s="7">
        <v>2921</v>
      </c>
      <c r="I35" s="7">
        <v>3821</v>
      </c>
    </row>
    <row r="36" spans="1:10" x14ac:dyDescent="0.25">
      <c r="A36" s="16" t="s">
        <v>45</v>
      </c>
      <c r="B36" s="17">
        <f t="shared" ref="B36:I36" si="7">+SUM(B30:B35)</f>
        <v>21600</v>
      </c>
      <c r="C36" s="17">
        <f t="shared" si="7"/>
        <v>21396</v>
      </c>
      <c r="D36" s="17">
        <f t="shared" si="7"/>
        <v>23259</v>
      </c>
      <c r="E36" s="17">
        <f t="shared" si="7"/>
        <v>22536</v>
      </c>
      <c r="F36" s="17">
        <f t="shared" si="7"/>
        <v>23717</v>
      </c>
      <c r="G36" s="17">
        <f t="shared" si="7"/>
        <v>31342</v>
      </c>
      <c r="H36" s="17">
        <f t="shared" si="7"/>
        <v>37740</v>
      </c>
      <c r="I36" s="17">
        <f t="shared" si="7"/>
        <v>40321</v>
      </c>
    </row>
    <row r="37" spans="1:10" x14ac:dyDescent="0.25">
      <c r="A37" s="3" t="s">
        <v>46</v>
      </c>
      <c r="B37" s="7"/>
      <c r="C37" s="7"/>
      <c r="D37" s="7"/>
      <c r="E37" s="7"/>
      <c r="F37" s="7"/>
      <c r="G37" s="7"/>
      <c r="H37" s="7"/>
      <c r="I37" s="7"/>
    </row>
    <row r="38" spans="1:10" x14ac:dyDescent="0.25">
      <c r="A38" s="4" t="s">
        <v>47</v>
      </c>
      <c r="B38" s="7"/>
      <c r="C38" s="7"/>
      <c r="D38" s="7"/>
      <c r="E38" s="7"/>
      <c r="F38" s="7"/>
      <c r="G38" s="7"/>
      <c r="H38" s="7"/>
      <c r="I38" s="7"/>
    </row>
    <row r="39" spans="1:10" x14ac:dyDescent="0.25">
      <c r="A39" s="11" t="s">
        <v>48</v>
      </c>
      <c r="B39" s="7">
        <v>107</v>
      </c>
      <c r="C39" s="7">
        <v>44</v>
      </c>
      <c r="D39" s="7">
        <v>6</v>
      </c>
      <c r="E39" s="7">
        <v>6</v>
      </c>
      <c r="F39" s="7">
        <v>6</v>
      </c>
      <c r="G39" s="7">
        <v>3</v>
      </c>
      <c r="H39" s="7">
        <v>0</v>
      </c>
      <c r="I39" s="7">
        <v>500</v>
      </c>
    </row>
    <row r="40" spans="1:10" x14ac:dyDescent="0.25">
      <c r="A40" s="11" t="s">
        <v>49</v>
      </c>
      <c r="B40" s="7">
        <v>74</v>
      </c>
      <c r="C40" s="7">
        <v>1</v>
      </c>
      <c r="D40" s="7">
        <v>325</v>
      </c>
      <c r="E40" s="7">
        <v>336</v>
      </c>
      <c r="F40" s="7">
        <v>9</v>
      </c>
      <c r="G40" s="7">
        <v>248</v>
      </c>
      <c r="H40" s="7">
        <v>2</v>
      </c>
      <c r="I40" s="7">
        <v>10</v>
      </c>
    </row>
    <row r="41" spans="1:10" x14ac:dyDescent="0.25">
      <c r="A41" s="11" t="s">
        <v>50</v>
      </c>
      <c r="B41" s="7">
        <v>2131</v>
      </c>
      <c r="C41" s="7">
        <v>2191</v>
      </c>
      <c r="D41" s="7">
        <v>2048</v>
      </c>
      <c r="E41" s="7">
        <v>2279</v>
      </c>
      <c r="F41" s="7">
        <v>2612</v>
      </c>
      <c r="G41" s="7">
        <v>2248</v>
      </c>
      <c r="H41" s="7">
        <v>2836</v>
      </c>
      <c r="I41" s="7">
        <v>3358</v>
      </c>
      <c r="J41" t="s">
        <v>35</v>
      </c>
    </row>
    <row r="42" spans="1:10" x14ac:dyDescent="0.25">
      <c r="A42" s="11" t="s">
        <v>51</v>
      </c>
      <c r="B42" s="7">
        <v>0</v>
      </c>
      <c r="C42" s="7">
        <v>0</v>
      </c>
      <c r="D42" s="7">
        <v>0</v>
      </c>
      <c r="E42" s="7">
        <v>0</v>
      </c>
      <c r="F42" s="7">
        <v>0</v>
      </c>
      <c r="G42" s="7">
        <v>445</v>
      </c>
      <c r="H42" s="7">
        <v>467</v>
      </c>
      <c r="I42" s="7">
        <v>420</v>
      </c>
    </row>
    <row r="43" spans="1:10" x14ac:dyDescent="0.25">
      <c r="A43" s="11" t="s">
        <v>52</v>
      </c>
      <c r="B43" s="7">
        <v>3949</v>
      </c>
      <c r="C43" s="7">
        <v>3037</v>
      </c>
      <c r="D43" s="7">
        <v>3011</v>
      </c>
      <c r="E43" s="7">
        <v>3269</v>
      </c>
      <c r="F43" s="7">
        <v>5010</v>
      </c>
      <c r="G43" s="7">
        <v>5184</v>
      </c>
      <c r="H43" s="7">
        <v>6063</v>
      </c>
      <c r="I43" s="7">
        <v>6220</v>
      </c>
    </row>
    <row r="44" spans="1:10" x14ac:dyDescent="0.25">
      <c r="A44" s="11" t="s">
        <v>53</v>
      </c>
      <c r="B44" s="7">
        <v>71</v>
      </c>
      <c r="C44" s="7">
        <v>85</v>
      </c>
      <c r="D44" s="7">
        <v>84</v>
      </c>
      <c r="E44" s="7">
        <v>150</v>
      </c>
      <c r="F44" s="7">
        <v>229</v>
      </c>
      <c r="G44" s="7">
        <v>156</v>
      </c>
      <c r="H44" s="7">
        <v>306</v>
      </c>
      <c r="I44" s="7">
        <v>222</v>
      </c>
      <c r="J44" t="s">
        <v>35</v>
      </c>
    </row>
    <row r="45" spans="1:10" x14ac:dyDescent="0.25">
      <c r="A45" s="14" t="s">
        <v>54</v>
      </c>
      <c r="B45" s="15">
        <f t="shared" ref="B45:I45" si="8">+SUM(B39:B44)</f>
        <v>6332</v>
      </c>
      <c r="C45" s="15">
        <f t="shared" si="8"/>
        <v>5358</v>
      </c>
      <c r="D45" s="15">
        <f t="shared" si="8"/>
        <v>5474</v>
      </c>
      <c r="E45" s="15">
        <f t="shared" si="8"/>
        <v>6040</v>
      </c>
      <c r="F45" s="15">
        <f t="shared" si="8"/>
        <v>7866</v>
      </c>
      <c r="G45" s="15">
        <f t="shared" si="8"/>
        <v>8284</v>
      </c>
      <c r="H45" s="15">
        <f t="shared" si="8"/>
        <v>9674</v>
      </c>
      <c r="I45" s="15">
        <f t="shared" si="8"/>
        <v>10730</v>
      </c>
    </row>
    <row r="46" spans="1:10" x14ac:dyDescent="0.25">
      <c r="A46" s="4" t="s">
        <v>55</v>
      </c>
      <c r="B46" s="7">
        <v>1079</v>
      </c>
      <c r="C46" s="7">
        <v>2010</v>
      </c>
      <c r="D46" s="7">
        <v>3471</v>
      </c>
      <c r="E46" s="7">
        <v>3468</v>
      </c>
      <c r="F46" s="7">
        <v>3464</v>
      </c>
      <c r="G46" s="7">
        <v>9406</v>
      </c>
      <c r="H46" s="7">
        <v>9413</v>
      </c>
      <c r="I46" s="7">
        <v>8920</v>
      </c>
    </row>
    <row r="47" spans="1:10" x14ac:dyDescent="0.25">
      <c r="A47" s="4" t="s">
        <v>56</v>
      </c>
      <c r="B47" s="7">
        <v>3</v>
      </c>
      <c r="C47" s="7">
        <v>0</v>
      </c>
      <c r="D47" s="7">
        <v>0</v>
      </c>
      <c r="E47" s="7">
        <v>0</v>
      </c>
      <c r="F47" s="7">
        <v>0</v>
      </c>
      <c r="G47" s="7">
        <v>2913</v>
      </c>
      <c r="H47" s="7">
        <v>2931</v>
      </c>
      <c r="I47" s="7">
        <v>2777</v>
      </c>
    </row>
    <row r="48" spans="1:10" x14ac:dyDescent="0.25">
      <c r="A48" s="4" t="s">
        <v>57</v>
      </c>
      <c r="B48" s="7">
        <v>1479</v>
      </c>
      <c r="C48" s="7">
        <v>1770</v>
      </c>
      <c r="D48" s="7">
        <v>1907</v>
      </c>
      <c r="E48" s="7">
        <v>3216</v>
      </c>
      <c r="F48" s="7">
        <v>3347</v>
      </c>
      <c r="G48" s="7">
        <v>2684</v>
      </c>
      <c r="H48" s="7">
        <v>2955</v>
      </c>
      <c r="I48" s="7">
        <v>2613</v>
      </c>
    </row>
    <row r="49" spans="1:9" x14ac:dyDescent="0.25">
      <c r="A49" s="4" t="s">
        <v>58</v>
      </c>
      <c r="B49" s="7"/>
      <c r="C49" s="7"/>
      <c r="D49" s="7"/>
      <c r="E49" s="7"/>
      <c r="F49" s="7"/>
      <c r="G49" s="7"/>
      <c r="H49" s="7"/>
      <c r="I49" s="7"/>
    </row>
    <row r="50" spans="1:9" x14ac:dyDescent="0.25">
      <c r="A50" s="11" t="s">
        <v>59</v>
      </c>
      <c r="B50" s="7"/>
      <c r="C50" s="7"/>
      <c r="D50" s="7"/>
      <c r="E50" s="7"/>
      <c r="F50" s="7"/>
      <c r="G50" s="7"/>
      <c r="H50" s="7">
        <v>0</v>
      </c>
      <c r="I50" s="7">
        <v>0</v>
      </c>
    </row>
    <row r="51" spans="1:9" x14ac:dyDescent="0.25">
      <c r="A51" s="4" t="s">
        <v>60</v>
      </c>
      <c r="B51" s="7"/>
      <c r="C51" s="7"/>
      <c r="D51" s="7"/>
      <c r="E51" s="7"/>
      <c r="F51" s="7"/>
      <c r="G51" s="7"/>
      <c r="H51" s="7"/>
      <c r="I51" s="7"/>
    </row>
    <row r="52" spans="1:9" x14ac:dyDescent="0.25">
      <c r="A52" s="11" t="s">
        <v>61</v>
      </c>
      <c r="B52" s="7"/>
      <c r="C52" s="7"/>
      <c r="D52" s="7"/>
      <c r="E52" s="7"/>
      <c r="F52" s="7"/>
      <c r="G52" s="7"/>
      <c r="H52" s="7"/>
      <c r="I52" s="7"/>
    </row>
    <row r="53" spans="1:9" x14ac:dyDescent="0.25">
      <c r="A53" s="23" t="s">
        <v>62</v>
      </c>
      <c r="B53" s="7"/>
      <c r="C53" s="7"/>
      <c r="D53" s="7"/>
      <c r="E53" s="7"/>
      <c r="F53" s="7"/>
      <c r="G53" s="7"/>
      <c r="H53" s="7"/>
      <c r="I53" s="7"/>
    </row>
    <row r="54" spans="1:9" x14ac:dyDescent="0.25">
      <c r="A54" s="23" t="s">
        <v>63</v>
      </c>
      <c r="B54" s="7">
        <v>3</v>
      </c>
      <c r="C54" s="7">
        <v>3</v>
      </c>
      <c r="D54" s="7">
        <v>3</v>
      </c>
      <c r="E54" s="7">
        <v>3</v>
      </c>
      <c r="F54" s="7">
        <v>3</v>
      </c>
      <c r="G54" s="7">
        <v>3</v>
      </c>
      <c r="H54" s="7">
        <v>3</v>
      </c>
      <c r="I54" s="7">
        <v>3</v>
      </c>
    </row>
    <row r="55" spans="1:9" x14ac:dyDescent="0.25">
      <c r="A55" s="23" t="s">
        <v>64</v>
      </c>
      <c r="B55" s="7">
        <v>6773</v>
      </c>
      <c r="C55" s="7">
        <v>7786</v>
      </c>
      <c r="D55" s="7">
        <v>5710</v>
      </c>
      <c r="E55" s="7">
        <v>6384</v>
      </c>
      <c r="F55" s="7">
        <v>7163</v>
      </c>
      <c r="G55" s="7">
        <v>8299</v>
      </c>
      <c r="H55" s="7">
        <v>9965</v>
      </c>
      <c r="I55" s="7">
        <v>11484</v>
      </c>
    </row>
    <row r="56" spans="1:9" x14ac:dyDescent="0.25">
      <c r="A56" s="23" t="s">
        <v>65</v>
      </c>
      <c r="B56" s="7">
        <v>1246</v>
      </c>
      <c r="C56" s="7">
        <v>318</v>
      </c>
      <c r="D56" s="7">
        <v>-213</v>
      </c>
      <c r="E56" s="7">
        <v>-92</v>
      </c>
      <c r="F56" s="7">
        <v>231</v>
      </c>
      <c r="G56" s="7">
        <v>-56</v>
      </c>
      <c r="H56" s="7">
        <v>-380</v>
      </c>
      <c r="I56" s="7">
        <v>318</v>
      </c>
    </row>
    <row r="57" spans="1:9" x14ac:dyDescent="0.25">
      <c r="A57" s="23" t="s">
        <v>66</v>
      </c>
      <c r="B57" s="7">
        <v>4685</v>
      </c>
      <c r="C57" s="7">
        <v>4151</v>
      </c>
      <c r="D57" s="7">
        <v>6907</v>
      </c>
      <c r="E57" s="7">
        <v>3517</v>
      </c>
      <c r="F57" s="7">
        <v>1643</v>
      </c>
      <c r="G57" s="7">
        <v>-191</v>
      </c>
      <c r="H57" s="7">
        <v>3179</v>
      </c>
      <c r="I57" s="7">
        <v>3476</v>
      </c>
    </row>
    <row r="58" spans="1:9" x14ac:dyDescent="0.25">
      <c r="A58" s="14" t="s">
        <v>67</v>
      </c>
      <c r="B58" s="15">
        <f t="shared" ref="B58:I58" si="9">+SUM(B53:B57)</f>
        <v>12707</v>
      </c>
      <c r="C58" s="15">
        <f t="shared" si="9"/>
        <v>12258</v>
      </c>
      <c r="D58" s="15">
        <f t="shared" si="9"/>
        <v>12407</v>
      </c>
      <c r="E58" s="15">
        <f t="shared" si="9"/>
        <v>9812</v>
      </c>
      <c r="F58" s="15">
        <f t="shared" si="9"/>
        <v>9040</v>
      </c>
      <c r="G58" s="15">
        <f t="shared" si="9"/>
        <v>8055</v>
      </c>
      <c r="H58" s="15">
        <f t="shared" si="9"/>
        <v>12767</v>
      </c>
      <c r="I58" s="15">
        <f t="shared" si="9"/>
        <v>15281</v>
      </c>
    </row>
    <row r="59" spans="1:9" x14ac:dyDescent="0.25">
      <c r="A59" s="16" t="s">
        <v>68</v>
      </c>
      <c r="B59" s="17">
        <f t="shared" ref="B59:I59" si="10">+SUM(B45:B50)+B58</f>
        <v>21600</v>
      </c>
      <c r="C59" s="17">
        <f t="shared" si="10"/>
        <v>21396</v>
      </c>
      <c r="D59" s="17">
        <f t="shared" si="10"/>
        <v>23259</v>
      </c>
      <c r="E59" s="17">
        <f t="shared" si="10"/>
        <v>22536</v>
      </c>
      <c r="F59" s="17">
        <f t="shared" si="10"/>
        <v>23717</v>
      </c>
      <c r="G59" s="17">
        <f t="shared" si="10"/>
        <v>31342</v>
      </c>
      <c r="H59" s="17">
        <f t="shared" si="10"/>
        <v>37740</v>
      </c>
      <c r="I59" s="17">
        <f t="shared" si="10"/>
        <v>40321</v>
      </c>
    </row>
    <row r="60" spans="1:9" s="19" customFormat="1" x14ac:dyDescent="0.25">
      <c r="A60" s="19" t="s">
        <v>69</v>
      </c>
      <c r="B60" s="20">
        <f t="shared" ref="B60:I60" si="11">+B59-B36</f>
        <v>0</v>
      </c>
      <c r="C60" s="20">
        <f t="shared" si="11"/>
        <v>0</v>
      </c>
      <c r="D60" s="20">
        <f t="shared" si="11"/>
        <v>0</v>
      </c>
      <c r="E60" s="20">
        <f t="shared" si="11"/>
        <v>0</v>
      </c>
      <c r="F60" s="20">
        <f t="shared" si="11"/>
        <v>0</v>
      </c>
      <c r="G60" s="20">
        <f t="shared" si="11"/>
        <v>0</v>
      </c>
      <c r="H60" s="20">
        <f t="shared" si="11"/>
        <v>0</v>
      </c>
      <c r="I60" s="20">
        <f t="shared" si="11"/>
        <v>0</v>
      </c>
    </row>
    <row r="61" spans="1:9" x14ac:dyDescent="0.25">
      <c r="A61" s="21" t="s">
        <v>70</v>
      </c>
      <c r="B61" s="21"/>
      <c r="C61" s="21"/>
      <c r="D61" s="21"/>
      <c r="E61" s="21"/>
      <c r="F61" s="21"/>
      <c r="G61" s="21"/>
      <c r="H61" s="21"/>
      <c r="I61" s="21"/>
    </row>
    <row r="62" spans="1:9" x14ac:dyDescent="0.25">
      <c r="A62" t="s">
        <v>71</v>
      </c>
    </row>
    <row r="63" spans="1:9" x14ac:dyDescent="0.25">
      <c r="A63" s="3" t="s">
        <v>72</v>
      </c>
    </row>
    <row r="64" spans="1:9" s="3" customFormat="1" x14ac:dyDescent="0.25">
      <c r="A64" s="22" t="s">
        <v>73</v>
      </c>
      <c r="B64" s="10">
        <v>3273</v>
      </c>
      <c r="C64" s="10">
        <v>3760</v>
      </c>
      <c r="D64" s="10">
        <v>4240</v>
      </c>
      <c r="E64" s="10">
        <v>1933</v>
      </c>
      <c r="F64" s="10">
        <v>4029</v>
      </c>
      <c r="G64" s="10">
        <v>2539</v>
      </c>
      <c r="H64" s="10">
        <f>+H12</f>
        <v>5727</v>
      </c>
      <c r="I64" s="10">
        <f>+I12</f>
        <v>6046</v>
      </c>
    </row>
    <row r="65" spans="1:9" s="3" customFormat="1" x14ac:dyDescent="0.25">
      <c r="A65" s="4" t="s">
        <v>74</v>
      </c>
      <c r="B65" s="7"/>
      <c r="C65" s="7"/>
      <c r="D65" s="7"/>
      <c r="E65" s="7"/>
      <c r="F65" s="7"/>
      <c r="G65" s="7"/>
      <c r="H65" s="7"/>
      <c r="I65" s="7"/>
    </row>
    <row r="66" spans="1:9" x14ac:dyDescent="0.25">
      <c r="A66" s="11" t="s">
        <v>75</v>
      </c>
      <c r="B66" s="7">
        <v>606</v>
      </c>
      <c r="C66" s="7">
        <v>649</v>
      </c>
      <c r="D66" s="7">
        <v>706</v>
      </c>
      <c r="E66" s="7">
        <v>747</v>
      </c>
      <c r="F66" s="7">
        <v>705</v>
      </c>
      <c r="G66" s="7">
        <v>721</v>
      </c>
      <c r="H66" s="7">
        <v>744</v>
      </c>
      <c r="I66" s="7">
        <v>717</v>
      </c>
    </row>
    <row r="67" spans="1:9" x14ac:dyDescent="0.25">
      <c r="A67" s="11" t="s">
        <v>76</v>
      </c>
      <c r="B67" s="7">
        <v>-113</v>
      </c>
      <c r="C67" s="7">
        <v>-80</v>
      </c>
      <c r="D67" s="7">
        <v>-273</v>
      </c>
      <c r="E67" s="7">
        <v>647</v>
      </c>
      <c r="F67" s="7">
        <v>34</v>
      </c>
      <c r="G67" s="7">
        <v>-380</v>
      </c>
      <c r="H67" s="7">
        <v>-385</v>
      </c>
      <c r="I67" s="7">
        <v>-650</v>
      </c>
    </row>
    <row r="68" spans="1:9" x14ac:dyDescent="0.25">
      <c r="A68" s="11" t="s">
        <v>77</v>
      </c>
      <c r="B68" s="7">
        <v>191</v>
      </c>
      <c r="C68" s="7">
        <v>236</v>
      </c>
      <c r="D68" s="7">
        <v>215</v>
      </c>
      <c r="E68" s="7">
        <v>218</v>
      </c>
      <c r="F68" s="7">
        <v>325</v>
      </c>
      <c r="G68" s="7">
        <v>429</v>
      </c>
      <c r="H68" s="7">
        <v>611</v>
      </c>
      <c r="I68" s="7">
        <v>638</v>
      </c>
    </row>
    <row r="69" spans="1:9" x14ac:dyDescent="0.25">
      <c r="A69" s="11" t="s">
        <v>78</v>
      </c>
      <c r="B69" s="7">
        <v>43</v>
      </c>
      <c r="C69" s="7">
        <v>13</v>
      </c>
      <c r="D69" s="7">
        <v>10</v>
      </c>
      <c r="E69" s="7">
        <v>27</v>
      </c>
      <c r="F69" s="7">
        <v>15</v>
      </c>
      <c r="G69" s="7">
        <v>398</v>
      </c>
      <c r="H69" s="7">
        <v>53</v>
      </c>
      <c r="I69" s="7">
        <v>123</v>
      </c>
    </row>
    <row r="70" spans="1:9" x14ac:dyDescent="0.25">
      <c r="A70" s="11" t="s">
        <v>79</v>
      </c>
      <c r="B70" s="7">
        <v>424</v>
      </c>
      <c r="C70" s="7">
        <v>98</v>
      </c>
      <c r="D70" s="7">
        <v>-117</v>
      </c>
      <c r="E70" s="7">
        <v>-99</v>
      </c>
      <c r="F70" s="7">
        <v>233</v>
      </c>
      <c r="G70" s="7">
        <v>23</v>
      </c>
      <c r="H70" s="7">
        <v>-138</v>
      </c>
      <c r="I70" s="7">
        <v>-26</v>
      </c>
    </row>
    <row r="71" spans="1:9" x14ac:dyDescent="0.25">
      <c r="A71" s="4" t="s">
        <v>80</v>
      </c>
      <c r="B71" s="7"/>
      <c r="C71" s="7"/>
      <c r="D71" s="7"/>
      <c r="E71" s="7"/>
      <c r="F71" s="7"/>
      <c r="G71" s="7"/>
      <c r="H71" s="7"/>
      <c r="I71" s="7"/>
    </row>
    <row r="72" spans="1:9" x14ac:dyDescent="0.25">
      <c r="A72" s="11" t="s">
        <v>81</v>
      </c>
      <c r="B72" s="7">
        <v>-216</v>
      </c>
      <c r="C72" s="7">
        <v>60</v>
      </c>
      <c r="D72" s="7">
        <v>-426</v>
      </c>
      <c r="E72" s="7">
        <v>187</v>
      </c>
      <c r="F72" s="7">
        <v>-270</v>
      </c>
      <c r="G72" s="7">
        <v>1239</v>
      </c>
      <c r="H72" s="7">
        <v>-1606</v>
      </c>
      <c r="I72" s="7">
        <v>-504</v>
      </c>
    </row>
    <row r="73" spans="1:9" x14ac:dyDescent="0.25">
      <c r="A73" s="11" t="s">
        <v>82</v>
      </c>
      <c r="B73" s="7">
        <v>-621</v>
      </c>
      <c r="C73" s="7">
        <v>-590</v>
      </c>
      <c r="D73" s="7">
        <v>-231</v>
      </c>
      <c r="E73" s="7">
        <v>-255</v>
      </c>
      <c r="F73" s="7">
        <v>-490</v>
      </c>
      <c r="G73" s="7">
        <v>-1854</v>
      </c>
      <c r="H73" s="7">
        <v>507</v>
      </c>
      <c r="I73" s="7">
        <v>-1676</v>
      </c>
    </row>
    <row r="74" spans="1:9" x14ac:dyDescent="0.25">
      <c r="A74" s="11" t="s">
        <v>83</v>
      </c>
      <c r="B74" s="7">
        <v>-144</v>
      </c>
      <c r="C74" s="7">
        <v>-161</v>
      </c>
      <c r="D74" s="7">
        <v>-120</v>
      </c>
      <c r="E74" s="7">
        <v>35</v>
      </c>
      <c r="F74" s="7">
        <v>-203</v>
      </c>
      <c r="G74" s="7">
        <v>-654</v>
      </c>
      <c r="H74" s="7">
        <v>-182</v>
      </c>
      <c r="I74" s="7">
        <v>-845</v>
      </c>
    </row>
    <row r="75" spans="1:9" x14ac:dyDescent="0.25">
      <c r="A75" s="11" t="s">
        <v>84</v>
      </c>
      <c r="B75" s="7">
        <v>1237</v>
      </c>
      <c r="C75" s="7">
        <v>-889</v>
      </c>
      <c r="D75" s="7">
        <v>-158</v>
      </c>
      <c r="E75" s="7">
        <v>1515</v>
      </c>
      <c r="F75" s="7">
        <v>1525</v>
      </c>
      <c r="G75" s="7">
        <v>24</v>
      </c>
      <c r="H75" s="7">
        <v>1326</v>
      </c>
      <c r="I75" s="7">
        <v>1365</v>
      </c>
    </row>
    <row r="76" spans="1:9" x14ac:dyDescent="0.25">
      <c r="A76" s="24" t="s">
        <v>85</v>
      </c>
      <c r="B76" s="25">
        <f t="shared" ref="B76:I76" si="12">+SUM(B64:B75)</f>
        <v>4680</v>
      </c>
      <c r="C76" s="25">
        <f t="shared" si="12"/>
        <v>3096</v>
      </c>
      <c r="D76" s="25">
        <f t="shared" si="12"/>
        <v>3846</v>
      </c>
      <c r="E76" s="25">
        <f t="shared" si="12"/>
        <v>4955</v>
      </c>
      <c r="F76" s="25">
        <f t="shared" si="12"/>
        <v>5903</v>
      </c>
      <c r="G76" s="25">
        <f t="shared" si="12"/>
        <v>2485</v>
      </c>
      <c r="H76" s="25">
        <f t="shared" si="12"/>
        <v>6657</v>
      </c>
      <c r="I76" s="25">
        <f t="shared" si="12"/>
        <v>5188</v>
      </c>
    </row>
    <row r="77" spans="1:9" x14ac:dyDescent="0.25">
      <c r="A77" s="3" t="s">
        <v>86</v>
      </c>
      <c r="B77" s="7"/>
      <c r="C77" s="7"/>
      <c r="D77" s="7"/>
      <c r="E77" s="7"/>
      <c r="F77" s="7"/>
      <c r="G77" s="7"/>
      <c r="H77" s="7"/>
      <c r="I77" s="7"/>
    </row>
    <row r="78" spans="1:9" x14ac:dyDescent="0.25">
      <c r="A78" s="4" t="s">
        <v>87</v>
      </c>
      <c r="B78" s="7">
        <v>-4936</v>
      </c>
      <c r="C78" s="7">
        <v>-5367</v>
      </c>
      <c r="D78" s="7">
        <v>-5928</v>
      </c>
      <c r="E78" s="7">
        <v>-4783</v>
      </c>
      <c r="F78" s="7">
        <v>-2937</v>
      </c>
      <c r="G78" s="7">
        <v>-2426</v>
      </c>
      <c r="H78" s="7">
        <v>-9961</v>
      </c>
      <c r="I78" s="7">
        <v>-12913</v>
      </c>
    </row>
    <row r="79" spans="1:9" x14ac:dyDescent="0.25">
      <c r="A79" s="4" t="s">
        <v>88</v>
      </c>
      <c r="B79" s="7">
        <v>3655</v>
      </c>
      <c r="C79" s="7">
        <v>2924</v>
      </c>
      <c r="D79" s="7">
        <v>3623</v>
      </c>
      <c r="E79" s="7">
        <v>3613</v>
      </c>
      <c r="F79" s="7">
        <v>1715</v>
      </c>
      <c r="G79" s="7">
        <v>74</v>
      </c>
      <c r="H79" s="7">
        <v>4236</v>
      </c>
      <c r="I79" s="7">
        <v>8199</v>
      </c>
    </row>
    <row r="80" spans="1:9" x14ac:dyDescent="0.25">
      <c r="A80" s="4" t="s">
        <v>89</v>
      </c>
      <c r="B80" s="7">
        <v>2216</v>
      </c>
      <c r="C80" s="7">
        <v>2386</v>
      </c>
      <c r="D80" s="7">
        <v>2423</v>
      </c>
      <c r="E80" s="7">
        <v>2496</v>
      </c>
      <c r="F80" s="7">
        <v>2072</v>
      </c>
      <c r="G80" s="7">
        <v>2379</v>
      </c>
      <c r="H80" s="7">
        <v>2449</v>
      </c>
      <c r="I80" s="7">
        <v>3967</v>
      </c>
    </row>
    <row r="81" spans="1:9" x14ac:dyDescent="0.25">
      <c r="A81" s="4" t="s">
        <v>90</v>
      </c>
      <c r="B81" s="7">
        <v>-960</v>
      </c>
      <c r="C81" s="7">
        <v>-1133</v>
      </c>
      <c r="D81" s="7">
        <v>-1092</v>
      </c>
      <c r="E81" s="7">
        <v>-1025</v>
      </c>
      <c r="F81" s="7">
        <v>-1119</v>
      </c>
      <c r="G81" s="7">
        <v>-1086</v>
      </c>
      <c r="H81" s="7">
        <v>-695</v>
      </c>
      <c r="I81" s="7">
        <v>-758</v>
      </c>
    </row>
    <row r="82" spans="1:9" x14ac:dyDescent="0.25">
      <c r="A82" s="4" t="s">
        <v>91</v>
      </c>
      <c r="B82" s="7">
        <v>-150</v>
      </c>
      <c r="C82" s="7">
        <v>156</v>
      </c>
      <c r="D82" s="7">
        <v>-34</v>
      </c>
      <c r="E82" s="7">
        <v>-25</v>
      </c>
      <c r="F82" s="7">
        <v>5</v>
      </c>
      <c r="G82" s="7">
        <v>31</v>
      </c>
      <c r="H82" s="7">
        <v>171</v>
      </c>
      <c r="I82" s="7">
        <v>-19</v>
      </c>
    </row>
    <row r="83" spans="1:9" x14ac:dyDescent="0.25">
      <c r="A83" s="26" t="s">
        <v>92</v>
      </c>
      <c r="B83" s="25">
        <f t="shared" ref="B83:I83" si="13">+SUM(B78:B82)</f>
        <v>-175</v>
      </c>
      <c r="C83" s="25">
        <f t="shared" si="13"/>
        <v>-1034</v>
      </c>
      <c r="D83" s="25">
        <f t="shared" si="13"/>
        <v>-1008</v>
      </c>
      <c r="E83" s="25">
        <f t="shared" si="13"/>
        <v>276</v>
      </c>
      <c r="F83" s="25">
        <f t="shared" si="13"/>
        <v>-264</v>
      </c>
      <c r="G83" s="25">
        <f t="shared" si="13"/>
        <v>-1028</v>
      </c>
      <c r="H83" s="25">
        <f t="shared" si="13"/>
        <v>-3800</v>
      </c>
      <c r="I83" s="25">
        <f t="shared" si="13"/>
        <v>-1524</v>
      </c>
    </row>
    <row r="84" spans="1:9" x14ac:dyDescent="0.25">
      <c r="A84" s="3" t="s">
        <v>93</v>
      </c>
      <c r="B84" s="7"/>
      <c r="C84" s="7"/>
      <c r="D84" s="7"/>
      <c r="E84" s="7"/>
      <c r="F84" s="7"/>
      <c r="G84" s="7"/>
      <c r="H84" s="7"/>
      <c r="I84" s="7"/>
    </row>
    <row r="85" spans="1:9" x14ac:dyDescent="0.25">
      <c r="A85" s="4" t="s">
        <v>94</v>
      </c>
      <c r="B85" s="7">
        <v>0</v>
      </c>
      <c r="C85" s="7">
        <v>981</v>
      </c>
      <c r="D85" s="7">
        <v>1482</v>
      </c>
      <c r="E85" s="7">
        <v>0</v>
      </c>
      <c r="F85" s="7">
        <v>0</v>
      </c>
      <c r="G85" s="7">
        <v>6134</v>
      </c>
      <c r="H85" s="7">
        <v>0</v>
      </c>
      <c r="I85" s="7">
        <v>0</v>
      </c>
    </row>
    <row r="86" spans="1:9" x14ac:dyDescent="0.25">
      <c r="A86" s="4" t="s">
        <v>95</v>
      </c>
      <c r="B86" s="7">
        <v>-63</v>
      </c>
      <c r="C86" s="7">
        <v>-67</v>
      </c>
      <c r="D86" s="7">
        <v>327</v>
      </c>
      <c r="E86" s="7">
        <v>13</v>
      </c>
      <c r="F86" s="7">
        <v>-325</v>
      </c>
      <c r="G86" s="7">
        <v>49</v>
      </c>
      <c r="H86" s="7">
        <v>-52</v>
      </c>
      <c r="I86" s="7">
        <v>15</v>
      </c>
    </row>
    <row r="87" spans="1:9" x14ac:dyDescent="0.25">
      <c r="A87" s="4" t="s">
        <v>96</v>
      </c>
      <c r="B87" s="7">
        <v>-26</v>
      </c>
      <c r="C87" s="7">
        <v>-113</v>
      </c>
      <c r="D87" s="7">
        <v>-61</v>
      </c>
      <c r="E87" s="7">
        <v>0</v>
      </c>
      <c r="F87" s="7">
        <v>0</v>
      </c>
      <c r="G87" s="7">
        <v>0</v>
      </c>
      <c r="H87" s="7">
        <v>-197</v>
      </c>
      <c r="I87" s="7">
        <v>0</v>
      </c>
    </row>
    <row r="88" spans="1:9" x14ac:dyDescent="0.25">
      <c r="A88" s="4" t="s">
        <v>97</v>
      </c>
      <c r="B88" s="7">
        <v>514</v>
      </c>
      <c r="C88" s="7">
        <v>507</v>
      </c>
      <c r="D88" s="7">
        <v>489</v>
      </c>
      <c r="E88" s="7">
        <v>733</v>
      </c>
      <c r="F88" s="7">
        <v>700</v>
      </c>
      <c r="G88" s="7">
        <v>885</v>
      </c>
      <c r="H88" s="7">
        <v>1172</v>
      </c>
      <c r="I88" s="7">
        <v>1151</v>
      </c>
    </row>
    <row r="89" spans="1:9" x14ac:dyDescent="0.25">
      <c r="A89" s="4" t="s">
        <v>98</v>
      </c>
      <c r="B89" s="7">
        <v>-2534</v>
      </c>
      <c r="C89" s="7">
        <v>-3238</v>
      </c>
      <c r="D89" s="7">
        <v>-3223</v>
      </c>
      <c r="E89" s="7">
        <v>-4254</v>
      </c>
      <c r="F89" s="7">
        <v>-4286</v>
      </c>
      <c r="G89" s="7">
        <v>-3067</v>
      </c>
      <c r="H89" s="7">
        <v>-608</v>
      </c>
      <c r="I89" s="7">
        <v>-4014</v>
      </c>
    </row>
    <row r="90" spans="1:9" x14ac:dyDescent="0.25">
      <c r="A90" s="4" t="s">
        <v>99</v>
      </c>
      <c r="B90" s="7">
        <v>-899</v>
      </c>
      <c r="C90" s="7">
        <v>-1022</v>
      </c>
      <c r="D90" s="7">
        <v>-1133</v>
      </c>
      <c r="E90" s="7">
        <v>-1243</v>
      </c>
      <c r="F90" s="7">
        <v>-1332</v>
      </c>
      <c r="G90" s="7">
        <v>-1452</v>
      </c>
      <c r="H90" s="7">
        <v>-1638</v>
      </c>
      <c r="I90" s="7">
        <v>-1837</v>
      </c>
    </row>
    <row r="91" spans="1:9" x14ac:dyDescent="0.25">
      <c r="A91" s="4" t="s">
        <v>100</v>
      </c>
      <c r="B91" s="7">
        <v>218</v>
      </c>
      <c r="C91" s="7">
        <v>-22</v>
      </c>
      <c r="D91" s="7">
        <v>-29</v>
      </c>
      <c r="E91" s="7">
        <v>-84</v>
      </c>
      <c r="F91" s="7">
        <v>-50</v>
      </c>
      <c r="G91" s="7">
        <v>-58</v>
      </c>
      <c r="H91" s="7">
        <v>-136</v>
      </c>
      <c r="I91" s="7">
        <v>-151</v>
      </c>
    </row>
    <row r="92" spans="1:9" x14ac:dyDescent="0.25">
      <c r="A92" s="26" t="s">
        <v>101</v>
      </c>
      <c r="B92" s="25">
        <f t="shared" ref="B92:I92" si="14">+SUM(B85:B91)</f>
        <v>-2790</v>
      </c>
      <c r="C92" s="25">
        <f t="shared" si="14"/>
        <v>-2974</v>
      </c>
      <c r="D92" s="25">
        <f t="shared" si="14"/>
        <v>-2148</v>
      </c>
      <c r="E92" s="25">
        <f t="shared" si="14"/>
        <v>-4835</v>
      </c>
      <c r="F92" s="25">
        <f t="shared" si="14"/>
        <v>-5293</v>
      </c>
      <c r="G92" s="25">
        <f t="shared" si="14"/>
        <v>2491</v>
      </c>
      <c r="H92" s="25">
        <f t="shared" si="14"/>
        <v>-1459</v>
      </c>
      <c r="I92" s="25">
        <f t="shared" si="14"/>
        <v>-4836</v>
      </c>
    </row>
    <row r="93" spans="1:9" x14ac:dyDescent="0.25">
      <c r="A93" s="4" t="s">
        <v>102</v>
      </c>
      <c r="B93" s="7">
        <v>-83</v>
      </c>
      <c r="C93" s="7">
        <v>-105</v>
      </c>
      <c r="D93" s="7">
        <v>-20</v>
      </c>
      <c r="E93" s="7">
        <v>45</v>
      </c>
      <c r="F93" s="7">
        <v>-129</v>
      </c>
      <c r="G93" s="7">
        <v>-66</v>
      </c>
      <c r="H93" s="7">
        <v>143</v>
      </c>
      <c r="I93" s="7">
        <v>-143</v>
      </c>
    </row>
    <row r="94" spans="1:9" x14ac:dyDescent="0.25">
      <c r="A94" s="26" t="s">
        <v>103</v>
      </c>
      <c r="B94" s="25">
        <f t="shared" ref="B94:I94" si="15">+B76+B83+B92+B93</f>
        <v>1632</v>
      </c>
      <c r="C94" s="25">
        <f t="shared" si="15"/>
        <v>-1017</v>
      </c>
      <c r="D94" s="25">
        <f t="shared" si="15"/>
        <v>670</v>
      </c>
      <c r="E94" s="25">
        <f t="shared" si="15"/>
        <v>441</v>
      </c>
      <c r="F94" s="25">
        <f t="shared" si="15"/>
        <v>217</v>
      </c>
      <c r="G94" s="25">
        <f t="shared" si="15"/>
        <v>3882</v>
      </c>
      <c r="H94" s="25">
        <f t="shared" si="15"/>
        <v>1541</v>
      </c>
      <c r="I94" s="25">
        <f t="shared" si="15"/>
        <v>-1315</v>
      </c>
    </row>
    <row r="95" spans="1:9" x14ac:dyDescent="0.25">
      <c r="A95" t="s">
        <v>104</v>
      </c>
      <c r="B95" s="7">
        <v>2220</v>
      </c>
      <c r="C95" s="7">
        <v>3852</v>
      </c>
      <c r="D95" s="7">
        <v>3138</v>
      </c>
      <c r="E95" s="7">
        <v>3808</v>
      </c>
      <c r="F95" s="7">
        <v>4249</v>
      </c>
      <c r="G95" s="7">
        <v>4466</v>
      </c>
      <c r="H95" s="7">
        <v>8348</v>
      </c>
      <c r="I95" s="7">
        <f>+H96</f>
        <v>9889</v>
      </c>
    </row>
    <row r="96" spans="1:9" x14ac:dyDescent="0.25">
      <c r="A96" s="16" t="s">
        <v>105</v>
      </c>
      <c r="B96" s="17">
        <v>3852</v>
      </c>
      <c r="C96" s="17">
        <v>3138</v>
      </c>
      <c r="D96" s="17">
        <v>3808</v>
      </c>
      <c r="E96" s="17">
        <v>4249</v>
      </c>
      <c r="F96" s="17">
        <v>4466</v>
      </c>
      <c r="G96" s="17">
        <v>8348</v>
      </c>
      <c r="H96" s="17">
        <f>+H94+H95</f>
        <v>9889</v>
      </c>
      <c r="I96" s="17">
        <f>+I94+I95</f>
        <v>8574</v>
      </c>
    </row>
    <row r="97" spans="1:9" s="19" customFormat="1" x14ac:dyDescent="0.25">
      <c r="A97" s="19" t="s">
        <v>106</v>
      </c>
      <c r="B97" s="20">
        <f t="shared" ref="B97:I97" si="16">+B96-B25</f>
        <v>0</v>
      </c>
      <c r="C97" s="20">
        <f t="shared" si="16"/>
        <v>0</v>
      </c>
      <c r="D97" s="20">
        <f t="shared" si="16"/>
        <v>0</v>
      </c>
      <c r="E97" s="20">
        <f t="shared" si="16"/>
        <v>0</v>
      </c>
      <c r="F97" s="20">
        <f t="shared" si="16"/>
        <v>0</v>
      </c>
      <c r="G97" s="20">
        <f t="shared" si="16"/>
        <v>0</v>
      </c>
      <c r="H97" s="20">
        <f t="shared" si="16"/>
        <v>0</v>
      </c>
      <c r="I97" s="20">
        <f t="shared" si="16"/>
        <v>0</v>
      </c>
    </row>
    <row r="98" spans="1:9" x14ac:dyDescent="0.25">
      <c r="A98" t="s">
        <v>107</v>
      </c>
      <c r="B98" s="7"/>
      <c r="C98" s="7"/>
      <c r="D98" s="7"/>
      <c r="E98" s="7"/>
      <c r="F98" s="7"/>
      <c r="G98" s="7"/>
      <c r="H98" s="7"/>
      <c r="I98" s="7"/>
    </row>
    <row r="99" spans="1:9" x14ac:dyDescent="0.25">
      <c r="A99" s="4" t="s">
        <v>108</v>
      </c>
      <c r="B99" s="7"/>
      <c r="C99" s="7"/>
      <c r="D99" s="7"/>
      <c r="E99" s="7"/>
      <c r="F99" s="7"/>
      <c r="G99" s="7"/>
      <c r="H99" s="7"/>
      <c r="I99" s="7"/>
    </row>
    <row r="100" spans="1:9" x14ac:dyDescent="0.25">
      <c r="A100" s="11" t="s">
        <v>109</v>
      </c>
      <c r="B100" s="7">
        <v>53</v>
      </c>
      <c r="C100" s="7">
        <v>70</v>
      </c>
      <c r="D100" s="7">
        <v>98</v>
      </c>
      <c r="E100" s="7">
        <v>125</v>
      </c>
      <c r="F100" s="7">
        <v>153</v>
      </c>
      <c r="G100" s="7">
        <v>140</v>
      </c>
      <c r="H100" s="7">
        <v>293</v>
      </c>
      <c r="I100" s="7">
        <v>290</v>
      </c>
    </row>
    <row r="101" spans="1:9" x14ac:dyDescent="0.25">
      <c r="A101" s="11" t="s">
        <v>110</v>
      </c>
      <c r="B101" s="7">
        <v>1262</v>
      </c>
      <c r="C101" s="7">
        <v>748</v>
      </c>
      <c r="D101" s="7">
        <v>703</v>
      </c>
      <c r="E101" s="7">
        <v>529</v>
      </c>
      <c r="F101" s="7">
        <v>757</v>
      </c>
      <c r="G101" s="7">
        <v>1028</v>
      </c>
      <c r="H101" s="7">
        <v>1177</v>
      </c>
      <c r="I101" s="7">
        <v>1231</v>
      </c>
    </row>
    <row r="102" spans="1:9" x14ac:dyDescent="0.25">
      <c r="A102" s="11" t="s">
        <v>111</v>
      </c>
      <c r="B102" s="7">
        <v>206</v>
      </c>
      <c r="C102" s="7">
        <v>252</v>
      </c>
      <c r="D102" s="7">
        <v>266</v>
      </c>
      <c r="E102" s="7">
        <v>294</v>
      </c>
      <c r="F102" s="7">
        <v>160</v>
      </c>
      <c r="G102" s="7">
        <v>121</v>
      </c>
      <c r="H102" s="7">
        <v>179</v>
      </c>
      <c r="I102" s="7">
        <v>160</v>
      </c>
    </row>
    <row r="103" spans="1:9" x14ac:dyDescent="0.25">
      <c r="A103" s="11" t="s">
        <v>112</v>
      </c>
      <c r="B103" s="7">
        <v>240</v>
      </c>
      <c r="C103" s="7">
        <v>271</v>
      </c>
      <c r="D103" s="7">
        <v>300</v>
      </c>
      <c r="E103" s="7">
        <v>320</v>
      </c>
      <c r="F103" s="7">
        <v>347</v>
      </c>
      <c r="G103" s="7">
        <v>385</v>
      </c>
      <c r="H103" s="7">
        <v>438</v>
      </c>
      <c r="I103" s="7">
        <v>480</v>
      </c>
    </row>
    <row r="105" spans="1:9" x14ac:dyDescent="0.25">
      <c r="A105" s="21" t="s">
        <v>113</v>
      </c>
      <c r="B105" s="21"/>
      <c r="C105" s="21"/>
      <c r="D105" s="21"/>
      <c r="E105" s="21"/>
      <c r="F105" s="21"/>
      <c r="G105" s="21"/>
      <c r="H105" s="21"/>
      <c r="I105" s="21"/>
    </row>
    <row r="106" spans="1:9" x14ac:dyDescent="0.25">
      <c r="A106" s="27" t="s">
        <v>114</v>
      </c>
      <c r="B106" s="7"/>
      <c r="C106" s="7"/>
      <c r="D106" s="7"/>
      <c r="E106" s="7"/>
      <c r="F106" s="7"/>
      <c r="G106" s="7"/>
      <c r="H106" s="7"/>
      <c r="I106" s="7"/>
    </row>
    <row r="107" spans="1:9" x14ac:dyDescent="0.25">
      <c r="A107" s="4" t="s">
        <v>115</v>
      </c>
      <c r="B107" s="7">
        <v>13740</v>
      </c>
      <c r="C107" s="7">
        <v>14764</v>
      </c>
      <c r="D107" s="7">
        <v>15216</v>
      </c>
      <c r="E107" s="7">
        <v>14855</v>
      </c>
      <c r="F107" s="7">
        <v>15902</v>
      </c>
      <c r="G107" s="7">
        <v>14484</v>
      </c>
      <c r="H107" s="7">
        <f>+SUM(H108:H110)</f>
        <v>17179</v>
      </c>
      <c r="I107" s="7">
        <f>+SUM(I108:I110)</f>
        <v>18353</v>
      </c>
    </row>
    <row r="108" spans="1:9" x14ac:dyDescent="0.25">
      <c r="A108" s="11" t="s">
        <v>116</v>
      </c>
      <c r="B108">
        <v>8506</v>
      </c>
      <c r="C108">
        <v>9299</v>
      </c>
      <c r="D108">
        <v>9684</v>
      </c>
      <c r="E108">
        <v>9322</v>
      </c>
      <c r="F108">
        <v>10045</v>
      </c>
      <c r="G108">
        <v>9329</v>
      </c>
      <c r="H108" s="18">
        <v>11644</v>
      </c>
      <c r="I108" s="18">
        <v>12228</v>
      </c>
    </row>
    <row r="109" spans="1:9" x14ac:dyDescent="0.25">
      <c r="A109" s="11" t="s">
        <v>117</v>
      </c>
      <c r="B109">
        <v>4410</v>
      </c>
      <c r="C109">
        <v>4746</v>
      </c>
      <c r="D109">
        <v>4886</v>
      </c>
      <c r="E109">
        <v>4938</v>
      </c>
      <c r="F109">
        <v>5260</v>
      </c>
      <c r="G109">
        <v>4639</v>
      </c>
      <c r="H109" s="18">
        <v>5028</v>
      </c>
      <c r="I109" s="18">
        <v>5492</v>
      </c>
    </row>
    <row r="110" spans="1:9" x14ac:dyDescent="0.25">
      <c r="A110" s="11" t="s">
        <v>118</v>
      </c>
      <c r="B110">
        <v>824</v>
      </c>
      <c r="C110">
        <v>719</v>
      </c>
      <c r="D110">
        <v>646</v>
      </c>
      <c r="E110">
        <v>595</v>
      </c>
      <c r="F110">
        <v>597</v>
      </c>
      <c r="G110">
        <v>516</v>
      </c>
      <c r="H110">
        <v>507</v>
      </c>
      <c r="I110">
        <v>633</v>
      </c>
    </row>
    <row r="111" spans="1:9" x14ac:dyDescent="0.25">
      <c r="A111" s="4" t="s">
        <v>119</v>
      </c>
      <c r="B111" s="7">
        <f t="shared" ref="B111:I111" si="17">+SUM(B112:B114)</f>
        <v>7126</v>
      </c>
      <c r="C111" s="7">
        <f t="shared" si="17"/>
        <v>7568</v>
      </c>
      <c r="D111" s="7">
        <f t="shared" si="17"/>
        <v>7970</v>
      </c>
      <c r="E111" s="7">
        <f t="shared" si="17"/>
        <v>9242</v>
      </c>
      <c r="F111" s="7">
        <f t="shared" si="17"/>
        <v>9812</v>
      </c>
      <c r="G111" s="7">
        <f t="shared" si="17"/>
        <v>9347</v>
      </c>
      <c r="H111" s="7">
        <f t="shared" si="17"/>
        <v>11456</v>
      </c>
      <c r="I111" s="7">
        <f t="shared" si="17"/>
        <v>12479</v>
      </c>
    </row>
    <row r="112" spans="1:9" x14ac:dyDescent="0.25">
      <c r="A112" s="11" t="s">
        <v>116</v>
      </c>
      <c r="B112">
        <f>3876+827</f>
        <v>4703</v>
      </c>
      <c r="C112">
        <v>5043</v>
      </c>
      <c r="D112">
        <v>5192</v>
      </c>
      <c r="E112">
        <v>5875</v>
      </c>
      <c r="F112">
        <v>6293</v>
      </c>
      <c r="G112">
        <v>5892</v>
      </c>
      <c r="H112" s="18">
        <v>6970</v>
      </c>
      <c r="I112" s="18">
        <v>7388</v>
      </c>
    </row>
    <row r="113" spans="1:9" x14ac:dyDescent="0.25">
      <c r="A113" s="11" t="s">
        <v>117</v>
      </c>
      <c r="B113">
        <f>1552+499</f>
        <v>2051</v>
      </c>
      <c r="C113">
        <v>2149</v>
      </c>
      <c r="D113">
        <v>2395</v>
      </c>
      <c r="E113">
        <v>2940</v>
      </c>
      <c r="F113">
        <v>3087</v>
      </c>
      <c r="G113">
        <v>3053</v>
      </c>
      <c r="H113" s="18">
        <v>3996</v>
      </c>
      <c r="I113" s="18">
        <v>4527</v>
      </c>
    </row>
    <row r="114" spans="1:9" x14ac:dyDescent="0.25">
      <c r="A114" s="11" t="s">
        <v>118</v>
      </c>
      <c r="B114">
        <f>277+95</f>
        <v>372</v>
      </c>
      <c r="C114">
        <v>376</v>
      </c>
      <c r="D114">
        <v>383</v>
      </c>
      <c r="E114">
        <v>427</v>
      </c>
      <c r="F114">
        <v>432</v>
      </c>
      <c r="G114">
        <v>402</v>
      </c>
      <c r="H114">
        <v>490</v>
      </c>
      <c r="I114">
        <v>564</v>
      </c>
    </row>
    <row r="115" spans="1:9" x14ac:dyDescent="0.25">
      <c r="A115" s="4" t="s">
        <v>120</v>
      </c>
      <c r="B115" s="7">
        <v>3067</v>
      </c>
      <c r="C115" s="7">
        <v>3785</v>
      </c>
      <c r="D115" s="7">
        <v>4237</v>
      </c>
      <c r="E115" s="7">
        <v>5134</v>
      </c>
      <c r="F115" s="7">
        <v>6208</v>
      </c>
      <c r="G115" s="7">
        <v>6679</v>
      </c>
      <c r="H115" s="7">
        <f>+SUM(H116:H118)</f>
        <v>8290</v>
      </c>
      <c r="I115" s="7">
        <f>+SUM(I116:I118)</f>
        <v>7547</v>
      </c>
    </row>
    <row r="116" spans="1:9" x14ac:dyDescent="0.25">
      <c r="A116" s="11" t="s">
        <v>116</v>
      </c>
      <c r="B116">
        <v>2016</v>
      </c>
      <c r="C116">
        <v>2599</v>
      </c>
      <c r="D116">
        <v>2920</v>
      </c>
      <c r="E116">
        <v>3496</v>
      </c>
      <c r="F116">
        <v>4262</v>
      </c>
      <c r="G116">
        <v>4635</v>
      </c>
      <c r="H116" s="18">
        <v>5748</v>
      </c>
      <c r="I116" s="18">
        <v>5416</v>
      </c>
    </row>
    <row r="117" spans="1:9" x14ac:dyDescent="0.25">
      <c r="A117" s="11" t="s">
        <v>117</v>
      </c>
      <c r="B117">
        <v>925</v>
      </c>
      <c r="C117">
        <v>1055</v>
      </c>
      <c r="D117">
        <v>1188</v>
      </c>
      <c r="E117">
        <v>1508</v>
      </c>
      <c r="F117">
        <v>1808</v>
      </c>
      <c r="G117">
        <v>1896</v>
      </c>
      <c r="H117" s="18">
        <v>2347</v>
      </c>
      <c r="I117" s="18">
        <v>1938</v>
      </c>
    </row>
    <row r="118" spans="1:9" x14ac:dyDescent="0.25">
      <c r="A118" s="11" t="s">
        <v>118</v>
      </c>
      <c r="B118">
        <v>126</v>
      </c>
      <c r="C118">
        <v>131</v>
      </c>
      <c r="D118">
        <v>129</v>
      </c>
      <c r="E118">
        <v>130</v>
      </c>
      <c r="F118">
        <v>138</v>
      </c>
      <c r="G118">
        <v>148</v>
      </c>
      <c r="H118">
        <v>195</v>
      </c>
      <c r="I118">
        <v>193</v>
      </c>
    </row>
    <row r="119" spans="1:9" x14ac:dyDescent="0.25">
      <c r="A119" s="4" t="s">
        <v>121</v>
      </c>
      <c r="B119" s="7">
        <f t="shared" ref="B119:I119" si="18">+SUM(B120:B122)</f>
        <v>4653</v>
      </c>
      <c r="C119" s="7">
        <f t="shared" si="18"/>
        <v>4317</v>
      </c>
      <c r="D119" s="7">
        <f t="shared" si="18"/>
        <v>4737</v>
      </c>
      <c r="E119" s="7">
        <f t="shared" si="18"/>
        <v>5166</v>
      </c>
      <c r="F119" s="7">
        <f t="shared" si="18"/>
        <v>5254</v>
      </c>
      <c r="G119" s="7">
        <f t="shared" si="18"/>
        <v>5028</v>
      </c>
      <c r="H119" s="7">
        <f t="shared" si="18"/>
        <v>5343</v>
      </c>
      <c r="I119" s="7">
        <f t="shared" si="18"/>
        <v>5955</v>
      </c>
    </row>
    <row r="120" spans="1:9" x14ac:dyDescent="0.25">
      <c r="A120" s="11" t="s">
        <v>116</v>
      </c>
      <c r="B120">
        <v>3093</v>
      </c>
      <c r="C120">
        <v>2930</v>
      </c>
      <c r="D120">
        <v>3285</v>
      </c>
      <c r="E120">
        <v>3575</v>
      </c>
      <c r="F120">
        <v>3622</v>
      </c>
      <c r="G120">
        <v>3449</v>
      </c>
      <c r="H120" s="18">
        <v>3659</v>
      </c>
      <c r="I120" s="18">
        <v>4111</v>
      </c>
    </row>
    <row r="121" spans="1:9" x14ac:dyDescent="0.25">
      <c r="A121" s="11" t="s">
        <v>117</v>
      </c>
      <c r="B121">
        <v>1251</v>
      </c>
      <c r="C121">
        <v>1117</v>
      </c>
      <c r="D121">
        <v>1185</v>
      </c>
      <c r="E121">
        <v>1347</v>
      </c>
      <c r="F121">
        <v>1395</v>
      </c>
      <c r="G121">
        <v>1365</v>
      </c>
      <c r="H121" s="18">
        <v>1494</v>
      </c>
      <c r="I121" s="18">
        <v>1610</v>
      </c>
    </row>
    <row r="122" spans="1:9" x14ac:dyDescent="0.25">
      <c r="A122" s="11" t="s">
        <v>118</v>
      </c>
      <c r="B122">
        <v>309</v>
      </c>
      <c r="C122">
        <v>270</v>
      </c>
      <c r="D122">
        <v>267</v>
      </c>
      <c r="E122">
        <v>244</v>
      </c>
      <c r="F122">
        <v>237</v>
      </c>
      <c r="G122">
        <v>214</v>
      </c>
      <c r="H122">
        <v>190</v>
      </c>
      <c r="I122">
        <v>234</v>
      </c>
    </row>
    <row r="123" spans="1:9" x14ac:dyDescent="0.25">
      <c r="A123" s="4" t="s">
        <v>122</v>
      </c>
      <c r="B123" s="7">
        <v>115</v>
      </c>
      <c r="C123" s="7">
        <v>73</v>
      </c>
      <c r="D123" s="7">
        <v>73</v>
      </c>
      <c r="E123" s="7">
        <v>88</v>
      </c>
      <c r="F123" s="7">
        <v>42</v>
      </c>
      <c r="G123" s="7">
        <v>30</v>
      </c>
      <c r="H123" s="7">
        <v>25</v>
      </c>
      <c r="I123" s="7">
        <v>102</v>
      </c>
    </row>
    <row r="124" spans="1:9" x14ac:dyDescent="0.25">
      <c r="A124" s="14" t="s">
        <v>123</v>
      </c>
      <c r="B124" s="15">
        <f t="shared" ref="B124:I124" si="19">+B107+B111+B115+B119+B123</f>
        <v>28701</v>
      </c>
      <c r="C124" s="15">
        <f t="shared" si="19"/>
        <v>30507</v>
      </c>
      <c r="D124" s="15">
        <f t="shared" si="19"/>
        <v>32233</v>
      </c>
      <c r="E124" s="15">
        <f t="shared" si="19"/>
        <v>34485</v>
      </c>
      <c r="F124" s="15">
        <f t="shared" si="19"/>
        <v>37218</v>
      </c>
      <c r="G124" s="15">
        <f t="shared" si="19"/>
        <v>35568</v>
      </c>
      <c r="H124" s="15">
        <f t="shared" si="19"/>
        <v>42293</v>
      </c>
      <c r="I124" s="15">
        <f t="shared" si="19"/>
        <v>44436</v>
      </c>
    </row>
    <row r="125" spans="1:9" x14ac:dyDescent="0.25">
      <c r="A125" s="4" t="s">
        <v>124</v>
      </c>
      <c r="B125" s="7">
        <v>1982</v>
      </c>
      <c r="C125" s="7">
        <v>1955</v>
      </c>
      <c r="D125" s="7">
        <v>2042</v>
      </c>
      <c r="E125" s="7">
        <v>1886</v>
      </c>
      <c r="F125" s="7">
        <v>1906</v>
      </c>
      <c r="G125" s="7">
        <v>1846</v>
      </c>
      <c r="H125" s="7">
        <f>+SUM(H126:H129)</f>
        <v>2205</v>
      </c>
      <c r="I125" s="7">
        <f>+SUM(I126:I129)</f>
        <v>2346</v>
      </c>
    </row>
    <row r="126" spans="1:9" x14ac:dyDescent="0.25">
      <c r="A126" s="11" t="s">
        <v>116</v>
      </c>
      <c r="B126" s="7">
        <v>18318</v>
      </c>
      <c r="C126" s="7">
        <v>19871</v>
      </c>
      <c r="D126" s="7">
        <v>21081</v>
      </c>
      <c r="E126" s="7">
        <v>22268</v>
      </c>
      <c r="F126" s="7">
        <v>25880</v>
      </c>
      <c r="G126" s="7">
        <v>24947</v>
      </c>
      <c r="H126" s="7">
        <v>1986</v>
      </c>
      <c r="I126" s="7">
        <v>2094</v>
      </c>
    </row>
    <row r="127" spans="1:9" x14ac:dyDescent="0.25">
      <c r="A127" s="11" t="s">
        <v>117</v>
      </c>
      <c r="B127" s="7">
        <v>8637</v>
      </c>
      <c r="C127" s="7">
        <v>9067</v>
      </c>
      <c r="D127" s="7">
        <v>9654</v>
      </c>
      <c r="E127" s="7">
        <v>10733</v>
      </c>
      <c r="F127" s="7">
        <v>11668</v>
      </c>
      <c r="G127" s="7">
        <v>11042</v>
      </c>
      <c r="H127" s="7">
        <v>104</v>
      </c>
      <c r="I127" s="7">
        <v>103</v>
      </c>
    </row>
    <row r="128" spans="1:9" x14ac:dyDescent="0.25">
      <c r="A128" s="11" t="s">
        <v>118</v>
      </c>
      <c r="B128" s="7">
        <v>1631</v>
      </c>
      <c r="C128" s="7">
        <v>1496</v>
      </c>
      <c r="D128" s="7">
        <v>1425</v>
      </c>
      <c r="E128" s="7">
        <v>1396</v>
      </c>
      <c r="F128" s="7">
        <v>1428</v>
      </c>
      <c r="G128" s="7">
        <v>1305</v>
      </c>
      <c r="H128" s="7">
        <v>29</v>
      </c>
      <c r="I128" s="7">
        <v>26</v>
      </c>
    </row>
    <row r="129" spans="1:9" x14ac:dyDescent="0.25">
      <c r="A129" s="11" t="s">
        <v>125</v>
      </c>
      <c r="B129" s="7">
        <v>2015</v>
      </c>
      <c r="C129" s="7">
        <v>1942</v>
      </c>
      <c r="D129" s="7">
        <v>2190</v>
      </c>
      <c r="E129" s="7">
        <v>2000</v>
      </c>
      <c r="F129" s="7">
        <v>141</v>
      </c>
      <c r="G129" s="7">
        <v>109</v>
      </c>
      <c r="H129" s="7">
        <v>86</v>
      </c>
      <c r="I129" s="7">
        <v>123</v>
      </c>
    </row>
    <row r="130" spans="1:9" x14ac:dyDescent="0.25">
      <c r="A130" s="4" t="s">
        <v>126</v>
      </c>
      <c r="B130" s="7">
        <v>-82</v>
      </c>
      <c r="C130" s="7">
        <v>-86</v>
      </c>
      <c r="D130" s="7">
        <v>75</v>
      </c>
      <c r="E130" s="7">
        <v>26</v>
      </c>
      <c r="F130" s="7">
        <v>-7</v>
      </c>
      <c r="G130" s="7">
        <v>-11</v>
      </c>
      <c r="H130" s="7">
        <v>40</v>
      </c>
      <c r="I130" s="7">
        <v>-72</v>
      </c>
    </row>
    <row r="131" spans="1:9" x14ac:dyDescent="0.25">
      <c r="A131" s="16" t="s">
        <v>127</v>
      </c>
      <c r="B131" s="17">
        <f t="shared" ref="B131:I131" si="20">+B124+B125+B130</f>
        <v>30601</v>
      </c>
      <c r="C131" s="17">
        <f t="shared" si="20"/>
        <v>32376</v>
      </c>
      <c r="D131" s="17">
        <f t="shared" si="20"/>
        <v>34350</v>
      </c>
      <c r="E131" s="17">
        <f t="shared" si="20"/>
        <v>36397</v>
      </c>
      <c r="F131" s="17">
        <f t="shared" si="20"/>
        <v>39117</v>
      </c>
      <c r="G131" s="17">
        <f t="shared" si="20"/>
        <v>37403</v>
      </c>
      <c r="H131" s="17">
        <f t="shared" si="20"/>
        <v>44538</v>
      </c>
      <c r="I131" s="17">
        <f t="shared" si="20"/>
        <v>46710</v>
      </c>
    </row>
    <row r="132" spans="1:9" s="19" customFormat="1" x14ac:dyDescent="0.25">
      <c r="A132" s="19" t="s">
        <v>128</v>
      </c>
      <c r="B132" s="20">
        <f>+I131-I2</f>
        <v>0</v>
      </c>
      <c r="C132" s="20">
        <f t="shared" ref="C132:H132" si="21">+C131-C2</f>
        <v>0</v>
      </c>
      <c r="D132" s="20">
        <f t="shared" si="21"/>
        <v>0</v>
      </c>
      <c r="E132" s="20">
        <f t="shared" si="21"/>
        <v>0</v>
      </c>
      <c r="F132" s="20">
        <f t="shared" si="21"/>
        <v>0</v>
      </c>
      <c r="G132" s="20">
        <f t="shared" si="21"/>
        <v>0</v>
      </c>
      <c r="H132" s="20">
        <f t="shared" si="21"/>
        <v>0</v>
      </c>
    </row>
    <row r="133" spans="1:9" x14ac:dyDescent="0.25">
      <c r="A133" s="3" t="s">
        <v>129</v>
      </c>
    </row>
    <row r="134" spans="1:9" x14ac:dyDescent="0.25">
      <c r="A134" s="4" t="s">
        <v>115</v>
      </c>
      <c r="B134" s="7">
        <v>3645</v>
      </c>
      <c r="C134" s="7">
        <v>3763</v>
      </c>
      <c r="D134" s="7">
        <v>3875</v>
      </c>
      <c r="E134" s="7">
        <v>3600</v>
      </c>
      <c r="F134" s="7">
        <v>3925</v>
      </c>
      <c r="G134" s="7">
        <v>2899</v>
      </c>
      <c r="H134" s="7">
        <v>5089</v>
      </c>
      <c r="I134" s="7">
        <v>5114</v>
      </c>
    </row>
    <row r="135" spans="1:9" x14ac:dyDescent="0.25">
      <c r="A135" s="4" t="s">
        <v>119</v>
      </c>
      <c r="B135" s="7">
        <v>1524</v>
      </c>
      <c r="C135" s="7">
        <v>1787</v>
      </c>
      <c r="D135" s="7">
        <v>1507</v>
      </c>
      <c r="E135" s="7">
        <v>1587</v>
      </c>
      <c r="F135" s="7">
        <v>1995</v>
      </c>
      <c r="G135" s="7">
        <v>1541</v>
      </c>
      <c r="H135" s="7">
        <v>2435</v>
      </c>
      <c r="I135" s="7">
        <v>3293</v>
      </c>
    </row>
    <row r="136" spans="1:9" x14ac:dyDescent="0.25">
      <c r="A136" s="4" t="s">
        <v>120</v>
      </c>
      <c r="B136" s="7">
        <v>993</v>
      </c>
      <c r="C136" s="7">
        <v>1372</v>
      </c>
      <c r="D136" s="7">
        <v>1507</v>
      </c>
      <c r="E136" s="7">
        <v>1807</v>
      </c>
      <c r="F136" s="7">
        <v>2376</v>
      </c>
      <c r="G136" s="7">
        <v>2490</v>
      </c>
      <c r="H136" s="7">
        <v>3243</v>
      </c>
      <c r="I136" s="7">
        <v>2365</v>
      </c>
    </row>
    <row r="137" spans="1:9" x14ac:dyDescent="0.25">
      <c r="A137" s="4" t="s">
        <v>121</v>
      </c>
      <c r="B137" s="7">
        <v>918</v>
      </c>
      <c r="C137" s="7">
        <v>1002</v>
      </c>
      <c r="D137" s="7">
        <v>980</v>
      </c>
      <c r="E137" s="7">
        <v>1189</v>
      </c>
      <c r="F137" s="7">
        <v>1323</v>
      </c>
      <c r="G137" s="7">
        <v>1184</v>
      </c>
      <c r="H137" s="7">
        <v>1530</v>
      </c>
      <c r="I137" s="7">
        <v>1896</v>
      </c>
    </row>
    <row r="138" spans="1:9" x14ac:dyDescent="0.25">
      <c r="A138" s="4" t="s">
        <v>122</v>
      </c>
      <c r="B138" s="7">
        <v>-2267</v>
      </c>
      <c r="C138" s="7">
        <v>-2596</v>
      </c>
      <c r="D138" s="7">
        <v>-2677</v>
      </c>
      <c r="E138" s="7">
        <v>-2658</v>
      </c>
      <c r="F138" s="7">
        <v>-3262</v>
      </c>
      <c r="G138" s="7">
        <v>-3468</v>
      </c>
      <c r="H138" s="7">
        <v>-3656</v>
      </c>
      <c r="I138" s="7">
        <v>-4262</v>
      </c>
    </row>
    <row r="139" spans="1:9" x14ac:dyDescent="0.25">
      <c r="A139" s="14" t="s">
        <v>123</v>
      </c>
      <c r="B139" s="15">
        <f t="shared" ref="B139:I139" si="22">+SUM(B134:B138)</f>
        <v>4813</v>
      </c>
      <c r="C139" s="15">
        <f t="shared" si="22"/>
        <v>5328</v>
      </c>
      <c r="D139" s="15">
        <f t="shared" si="22"/>
        <v>5192</v>
      </c>
      <c r="E139" s="15">
        <f t="shared" si="22"/>
        <v>5525</v>
      </c>
      <c r="F139" s="15">
        <f t="shared" si="22"/>
        <v>6357</v>
      </c>
      <c r="G139" s="15">
        <f t="shared" si="22"/>
        <v>4646</v>
      </c>
      <c r="H139" s="15">
        <f t="shared" si="22"/>
        <v>8641</v>
      </c>
      <c r="I139" s="15">
        <f t="shared" si="22"/>
        <v>8406</v>
      </c>
    </row>
    <row r="140" spans="1:9" x14ac:dyDescent="0.25">
      <c r="A140" s="4" t="s">
        <v>124</v>
      </c>
      <c r="B140" s="7">
        <v>517</v>
      </c>
      <c r="C140" s="7">
        <v>487</v>
      </c>
      <c r="D140" s="7">
        <v>477</v>
      </c>
      <c r="E140" s="7">
        <v>310</v>
      </c>
      <c r="F140" s="7">
        <v>303</v>
      </c>
      <c r="G140" s="7">
        <v>297</v>
      </c>
      <c r="H140" s="7">
        <v>543</v>
      </c>
      <c r="I140" s="7">
        <v>669</v>
      </c>
    </row>
    <row r="141" spans="1:9" x14ac:dyDescent="0.25">
      <c r="A141" s="4" t="s">
        <v>126</v>
      </c>
      <c r="B141" s="7">
        <v>-1097</v>
      </c>
      <c r="C141" s="7">
        <v>-1173</v>
      </c>
      <c r="D141" s="7">
        <v>-724</v>
      </c>
      <c r="E141" s="7">
        <v>-1456</v>
      </c>
      <c r="F141" s="7">
        <v>-1810</v>
      </c>
      <c r="G141" s="7">
        <v>-1967</v>
      </c>
      <c r="H141" s="7">
        <v>-2261</v>
      </c>
      <c r="I141" s="7">
        <v>-2219</v>
      </c>
    </row>
    <row r="142" spans="1:9" x14ac:dyDescent="0.25">
      <c r="A142" s="16" t="s">
        <v>130</v>
      </c>
      <c r="B142" s="17">
        <f t="shared" ref="B142:I142" si="23">+SUM(B139:B141)</f>
        <v>4233</v>
      </c>
      <c r="C142" s="17">
        <f t="shared" si="23"/>
        <v>4642</v>
      </c>
      <c r="D142" s="17">
        <f t="shared" si="23"/>
        <v>4945</v>
      </c>
      <c r="E142" s="17">
        <f t="shared" si="23"/>
        <v>4379</v>
      </c>
      <c r="F142" s="17">
        <f t="shared" si="23"/>
        <v>4850</v>
      </c>
      <c r="G142" s="17">
        <f t="shared" si="23"/>
        <v>2976</v>
      </c>
      <c r="H142" s="17">
        <f t="shared" si="23"/>
        <v>6923</v>
      </c>
      <c r="I142" s="17">
        <f t="shared" si="23"/>
        <v>6856</v>
      </c>
    </row>
    <row r="143" spans="1:9" s="19" customFormat="1" x14ac:dyDescent="0.25">
      <c r="A143" s="19" t="s">
        <v>128</v>
      </c>
      <c r="B143" s="20">
        <f t="shared" ref="B143:I143" si="24">+B142-B10-B8</f>
        <v>0</v>
      </c>
      <c r="C143" s="20">
        <f t="shared" si="24"/>
        <v>0</v>
      </c>
      <c r="D143" s="20">
        <f t="shared" si="24"/>
        <v>0</v>
      </c>
      <c r="E143" s="20">
        <f t="shared" si="24"/>
        <v>0</v>
      </c>
      <c r="F143" s="20">
        <f t="shared" si="24"/>
        <v>0</v>
      </c>
      <c r="G143" s="20">
        <f t="shared" si="24"/>
        <v>0</v>
      </c>
      <c r="H143" s="20">
        <f t="shared" si="24"/>
        <v>0</v>
      </c>
      <c r="I143" s="20">
        <f t="shared" si="24"/>
        <v>0</v>
      </c>
    </row>
    <row r="144" spans="1:9" x14ac:dyDescent="0.25">
      <c r="A144" s="3" t="s">
        <v>131</v>
      </c>
    </row>
    <row r="145" spans="1:9" x14ac:dyDescent="0.25">
      <c r="A145" s="4" t="s">
        <v>115</v>
      </c>
      <c r="B145" s="7">
        <v>632</v>
      </c>
      <c r="C145" s="7">
        <v>742</v>
      </c>
      <c r="D145" s="7">
        <v>819</v>
      </c>
      <c r="E145" s="7">
        <v>848</v>
      </c>
      <c r="F145" s="7">
        <v>814</v>
      </c>
      <c r="G145" s="7">
        <v>645</v>
      </c>
      <c r="H145" s="7">
        <v>617</v>
      </c>
      <c r="I145" s="7">
        <v>639</v>
      </c>
    </row>
    <row r="146" spans="1:9" x14ac:dyDescent="0.25">
      <c r="A146" s="4" t="s">
        <v>119</v>
      </c>
      <c r="B146" s="7">
        <v>498</v>
      </c>
      <c r="C146" s="7">
        <v>639</v>
      </c>
      <c r="D146" s="7">
        <v>709</v>
      </c>
      <c r="E146" s="7">
        <v>849</v>
      </c>
      <c r="F146" s="7">
        <v>929</v>
      </c>
      <c r="G146" s="7">
        <v>885</v>
      </c>
      <c r="H146" s="7">
        <v>982</v>
      </c>
      <c r="I146" s="7">
        <v>920</v>
      </c>
    </row>
    <row r="147" spans="1:9" x14ac:dyDescent="0.25">
      <c r="A147" s="4" t="s">
        <v>120</v>
      </c>
      <c r="B147" s="7">
        <v>254</v>
      </c>
      <c r="C147" s="7">
        <v>234</v>
      </c>
      <c r="D147" s="7">
        <v>225</v>
      </c>
      <c r="E147" s="7">
        <v>256</v>
      </c>
      <c r="F147" s="7">
        <v>237</v>
      </c>
      <c r="G147" s="7">
        <v>214</v>
      </c>
      <c r="H147" s="7">
        <v>288</v>
      </c>
      <c r="I147" s="7">
        <v>303</v>
      </c>
    </row>
    <row r="148" spans="1:9" x14ac:dyDescent="0.25">
      <c r="A148" s="4" t="s">
        <v>132</v>
      </c>
      <c r="B148" s="7">
        <v>308</v>
      </c>
      <c r="C148" s="7">
        <v>332</v>
      </c>
      <c r="D148" s="7">
        <v>340</v>
      </c>
      <c r="E148" s="7">
        <v>339</v>
      </c>
      <c r="F148" s="7">
        <v>326</v>
      </c>
      <c r="G148" s="7">
        <v>296</v>
      </c>
      <c r="H148" s="7">
        <v>304</v>
      </c>
      <c r="I148" s="7">
        <v>274</v>
      </c>
    </row>
    <row r="149" spans="1:9" x14ac:dyDescent="0.25">
      <c r="A149" s="4" t="s">
        <v>122</v>
      </c>
      <c r="B149" s="7">
        <v>484</v>
      </c>
      <c r="C149" s="7">
        <v>511</v>
      </c>
      <c r="D149" s="7">
        <v>533</v>
      </c>
      <c r="E149" s="7">
        <v>597</v>
      </c>
      <c r="F149" s="7">
        <v>665</v>
      </c>
      <c r="G149" s="7">
        <v>830</v>
      </c>
      <c r="H149" s="7">
        <v>780</v>
      </c>
      <c r="I149" s="7">
        <v>789</v>
      </c>
    </row>
    <row r="150" spans="1:9" x14ac:dyDescent="0.25">
      <c r="A150" s="14" t="s">
        <v>133</v>
      </c>
      <c r="B150" s="15">
        <f t="shared" ref="B150:I150" si="25">+SUM(B145:B149)</f>
        <v>2176</v>
      </c>
      <c r="C150" s="15">
        <f t="shared" si="25"/>
        <v>2458</v>
      </c>
      <c r="D150" s="15">
        <f t="shared" si="25"/>
        <v>2626</v>
      </c>
      <c r="E150" s="15">
        <f t="shared" si="25"/>
        <v>2889</v>
      </c>
      <c r="F150" s="15">
        <f t="shared" si="25"/>
        <v>2971</v>
      </c>
      <c r="G150" s="15">
        <f t="shared" si="25"/>
        <v>2870</v>
      </c>
      <c r="H150" s="15">
        <f t="shared" si="25"/>
        <v>2971</v>
      </c>
      <c r="I150" s="15">
        <f t="shared" si="25"/>
        <v>2925</v>
      </c>
    </row>
    <row r="151" spans="1:9" x14ac:dyDescent="0.25">
      <c r="A151" s="4" t="s">
        <v>124</v>
      </c>
      <c r="B151" s="7">
        <v>122</v>
      </c>
      <c r="C151" s="7">
        <v>125</v>
      </c>
      <c r="D151" s="7">
        <v>125</v>
      </c>
      <c r="E151" s="7">
        <v>115</v>
      </c>
      <c r="F151" s="7">
        <v>100</v>
      </c>
      <c r="G151" s="7">
        <v>80</v>
      </c>
      <c r="H151" s="7">
        <v>63</v>
      </c>
      <c r="I151" s="7">
        <v>49</v>
      </c>
    </row>
    <row r="152" spans="1:9" x14ac:dyDescent="0.25">
      <c r="A152" s="4" t="s">
        <v>126</v>
      </c>
      <c r="B152" s="7">
        <v>713</v>
      </c>
      <c r="C152" s="7">
        <v>937</v>
      </c>
      <c r="D152" s="7">
        <v>1238</v>
      </c>
      <c r="E152" s="7">
        <v>1450</v>
      </c>
      <c r="F152" s="7">
        <v>1673</v>
      </c>
      <c r="G152" s="7">
        <v>1916</v>
      </c>
      <c r="H152" s="7">
        <v>1870</v>
      </c>
      <c r="I152" s="7">
        <v>1817</v>
      </c>
    </row>
    <row r="153" spans="1:9" x14ac:dyDescent="0.25">
      <c r="A153" s="16" t="s">
        <v>134</v>
      </c>
      <c r="B153" s="17">
        <f t="shared" ref="B153:I153" si="26">+SUM(B150:B152)</f>
        <v>3011</v>
      </c>
      <c r="C153" s="17">
        <f t="shared" si="26"/>
        <v>3520</v>
      </c>
      <c r="D153" s="17">
        <f t="shared" si="26"/>
        <v>3989</v>
      </c>
      <c r="E153" s="17">
        <f t="shared" si="26"/>
        <v>4454</v>
      </c>
      <c r="F153" s="17">
        <f t="shared" si="26"/>
        <v>4744</v>
      </c>
      <c r="G153" s="17">
        <f t="shared" si="26"/>
        <v>4866</v>
      </c>
      <c r="H153" s="17">
        <f t="shared" si="26"/>
        <v>4904</v>
      </c>
      <c r="I153" s="17">
        <f t="shared" si="26"/>
        <v>4791</v>
      </c>
    </row>
    <row r="154" spans="1:9" x14ac:dyDescent="0.25">
      <c r="A154" s="19" t="s">
        <v>128</v>
      </c>
      <c r="B154" s="20">
        <f t="shared" ref="B154:I154" si="27">+B153-B31</f>
        <v>0</v>
      </c>
      <c r="C154" s="20">
        <f t="shared" si="27"/>
        <v>0</v>
      </c>
      <c r="D154" s="20">
        <f t="shared" si="27"/>
        <v>0</v>
      </c>
      <c r="E154" s="20">
        <f t="shared" si="27"/>
        <v>0</v>
      </c>
      <c r="F154" s="20">
        <f t="shared" si="27"/>
        <v>0</v>
      </c>
      <c r="G154" s="20">
        <f t="shared" si="27"/>
        <v>0</v>
      </c>
      <c r="H154" s="20">
        <f t="shared" si="27"/>
        <v>0</v>
      </c>
      <c r="I154" s="20">
        <f t="shared" si="27"/>
        <v>0</v>
      </c>
    </row>
    <row r="155" spans="1:9" x14ac:dyDescent="0.25">
      <c r="A155" s="3" t="s">
        <v>135</v>
      </c>
    </row>
    <row r="156" spans="1:9" x14ac:dyDescent="0.25">
      <c r="A156" s="4" t="s">
        <v>115</v>
      </c>
      <c r="B156" s="7">
        <v>208</v>
      </c>
      <c r="C156" s="7">
        <v>242</v>
      </c>
      <c r="D156" s="7">
        <v>223</v>
      </c>
      <c r="E156" s="7">
        <v>196</v>
      </c>
      <c r="F156" s="7">
        <v>117</v>
      </c>
      <c r="G156" s="7">
        <v>110</v>
      </c>
      <c r="H156" s="7">
        <v>98</v>
      </c>
      <c r="I156" s="7">
        <v>146</v>
      </c>
    </row>
    <row r="157" spans="1:9" x14ac:dyDescent="0.25">
      <c r="A157" s="4" t="s">
        <v>119</v>
      </c>
      <c r="B157" s="7">
        <v>232</v>
      </c>
      <c r="C157" s="7">
        <v>236</v>
      </c>
      <c r="D157" s="7">
        <v>173</v>
      </c>
      <c r="E157" s="7">
        <v>240</v>
      </c>
      <c r="F157" s="7">
        <v>233</v>
      </c>
      <c r="G157" s="7">
        <v>139</v>
      </c>
      <c r="H157" s="7">
        <v>153</v>
      </c>
      <c r="I157" s="7">
        <v>197</v>
      </c>
    </row>
    <row r="158" spans="1:9" x14ac:dyDescent="0.25">
      <c r="A158" s="4" t="s">
        <v>120</v>
      </c>
      <c r="B158" s="7">
        <v>69</v>
      </c>
      <c r="C158" s="7">
        <v>44</v>
      </c>
      <c r="D158" s="7">
        <v>51</v>
      </c>
      <c r="E158" s="7">
        <v>76</v>
      </c>
      <c r="F158" s="7">
        <v>49</v>
      </c>
      <c r="G158" s="7">
        <v>28</v>
      </c>
      <c r="H158" s="7">
        <v>94</v>
      </c>
      <c r="I158" s="7">
        <v>78</v>
      </c>
    </row>
    <row r="159" spans="1:9" x14ac:dyDescent="0.25">
      <c r="A159" s="4" t="s">
        <v>132</v>
      </c>
      <c r="B159" s="7">
        <v>64</v>
      </c>
      <c r="C159" s="7">
        <v>52</v>
      </c>
      <c r="D159" s="7">
        <v>59</v>
      </c>
      <c r="E159" s="7">
        <v>49</v>
      </c>
      <c r="F159" s="7">
        <v>47</v>
      </c>
      <c r="G159" s="7">
        <v>41</v>
      </c>
      <c r="H159" s="7">
        <v>54</v>
      </c>
      <c r="I159" s="7">
        <v>56</v>
      </c>
    </row>
    <row r="160" spans="1:9" x14ac:dyDescent="0.25">
      <c r="A160" s="4" t="s">
        <v>122</v>
      </c>
      <c r="B160" s="7">
        <v>225</v>
      </c>
      <c r="C160" s="7">
        <v>258</v>
      </c>
      <c r="D160" s="7">
        <v>278</v>
      </c>
      <c r="E160" s="7">
        <v>286</v>
      </c>
      <c r="F160" s="7">
        <v>278</v>
      </c>
      <c r="G160" s="7">
        <v>438</v>
      </c>
      <c r="H160" s="7">
        <v>278</v>
      </c>
      <c r="I160" s="7">
        <v>222</v>
      </c>
    </row>
    <row r="161" spans="1:9" x14ac:dyDescent="0.25">
      <c r="A161" s="14" t="s">
        <v>133</v>
      </c>
      <c r="B161" s="15">
        <f t="shared" ref="B161:I161" si="28">+SUM(B156:B160)</f>
        <v>798</v>
      </c>
      <c r="C161" s="15">
        <f t="shared" si="28"/>
        <v>832</v>
      </c>
      <c r="D161" s="15">
        <f t="shared" si="28"/>
        <v>784</v>
      </c>
      <c r="E161" s="15">
        <f t="shared" si="28"/>
        <v>847</v>
      </c>
      <c r="F161" s="15">
        <f t="shared" si="28"/>
        <v>724</v>
      </c>
      <c r="G161" s="15">
        <f t="shared" si="28"/>
        <v>756</v>
      </c>
      <c r="H161" s="15">
        <f t="shared" si="28"/>
        <v>677</v>
      </c>
      <c r="I161" s="15">
        <f t="shared" si="28"/>
        <v>699</v>
      </c>
    </row>
    <row r="162" spans="1:9" x14ac:dyDescent="0.25">
      <c r="A162" s="4" t="s">
        <v>124</v>
      </c>
      <c r="B162" s="7">
        <v>69</v>
      </c>
      <c r="C162" s="7">
        <v>39</v>
      </c>
      <c r="D162" s="7">
        <v>30</v>
      </c>
      <c r="E162" s="7">
        <v>22</v>
      </c>
      <c r="F162" s="7">
        <v>18</v>
      </c>
      <c r="G162" s="7">
        <v>12</v>
      </c>
      <c r="H162" s="7">
        <v>7</v>
      </c>
      <c r="I162" s="7">
        <v>9</v>
      </c>
    </row>
    <row r="163" spans="1:9" x14ac:dyDescent="0.25">
      <c r="A163" s="4" t="s">
        <v>126</v>
      </c>
      <c r="B163" s="7">
        <f t="shared" ref="B163:I163" si="29">-(SUM(B161:B162)+B81)</f>
        <v>93</v>
      </c>
      <c r="C163" s="7">
        <f t="shared" si="29"/>
        <v>262</v>
      </c>
      <c r="D163" s="7">
        <f t="shared" si="29"/>
        <v>278</v>
      </c>
      <c r="E163" s="7">
        <f t="shared" si="29"/>
        <v>156</v>
      </c>
      <c r="F163" s="7">
        <f t="shared" si="29"/>
        <v>377</v>
      </c>
      <c r="G163" s="7">
        <f t="shared" si="29"/>
        <v>318</v>
      </c>
      <c r="H163" s="7">
        <f t="shared" si="29"/>
        <v>11</v>
      </c>
      <c r="I163" s="7">
        <f t="shared" si="29"/>
        <v>50</v>
      </c>
    </row>
    <row r="164" spans="1:9" x14ac:dyDescent="0.25">
      <c r="A164" s="16" t="s">
        <v>136</v>
      </c>
      <c r="B164" s="17">
        <f t="shared" ref="B164:I164" si="30">+SUM(B161:B163)</f>
        <v>960</v>
      </c>
      <c r="C164" s="17">
        <f t="shared" si="30"/>
        <v>1133</v>
      </c>
      <c r="D164" s="17">
        <f t="shared" si="30"/>
        <v>1092</v>
      </c>
      <c r="E164" s="17">
        <f t="shared" si="30"/>
        <v>1025</v>
      </c>
      <c r="F164" s="17">
        <f t="shared" si="30"/>
        <v>1119</v>
      </c>
      <c r="G164" s="17">
        <f t="shared" si="30"/>
        <v>1086</v>
      </c>
      <c r="H164" s="17">
        <f t="shared" si="30"/>
        <v>695</v>
      </c>
      <c r="I164" s="17">
        <f t="shared" si="30"/>
        <v>758</v>
      </c>
    </row>
    <row r="165" spans="1:9" x14ac:dyDescent="0.25">
      <c r="A165" s="19" t="s">
        <v>128</v>
      </c>
      <c r="B165" s="20">
        <f t="shared" ref="B165:I165" si="31">+B164+B81</f>
        <v>0</v>
      </c>
      <c r="C165" s="20">
        <f t="shared" si="31"/>
        <v>0</v>
      </c>
      <c r="D165" s="20">
        <f t="shared" si="31"/>
        <v>0</v>
      </c>
      <c r="E165" s="20">
        <f t="shared" si="31"/>
        <v>0</v>
      </c>
      <c r="F165" s="20">
        <f t="shared" si="31"/>
        <v>0</v>
      </c>
      <c r="G165" s="20">
        <f t="shared" si="31"/>
        <v>0</v>
      </c>
      <c r="H165" s="20">
        <f t="shared" si="31"/>
        <v>0</v>
      </c>
      <c r="I165" s="20">
        <f t="shared" si="31"/>
        <v>0</v>
      </c>
    </row>
    <row r="166" spans="1:9" x14ac:dyDescent="0.25">
      <c r="A166" s="3" t="s">
        <v>137</v>
      </c>
    </row>
    <row r="167" spans="1:9" x14ac:dyDescent="0.25">
      <c r="A167" s="4" t="s">
        <v>115</v>
      </c>
      <c r="B167" s="7">
        <v>121</v>
      </c>
      <c r="C167" s="7">
        <v>133</v>
      </c>
      <c r="D167" s="7">
        <v>140</v>
      </c>
      <c r="E167" s="7">
        <v>160</v>
      </c>
      <c r="F167" s="7">
        <v>149</v>
      </c>
      <c r="G167" s="7">
        <v>148</v>
      </c>
      <c r="H167" s="7">
        <v>130</v>
      </c>
      <c r="I167" s="7">
        <v>124</v>
      </c>
    </row>
    <row r="168" spans="1:9" x14ac:dyDescent="0.25">
      <c r="A168" s="4" t="s">
        <v>119</v>
      </c>
      <c r="B168" s="7">
        <v>87</v>
      </c>
      <c r="C168" s="7">
        <v>85</v>
      </c>
      <c r="D168" s="7">
        <v>106</v>
      </c>
      <c r="E168" s="7">
        <v>116</v>
      </c>
      <c r="F168" s="7">
        <v>111</v>
      </c>
      <c r="G168" s="7">
        <v>132</v>
      </c>
      <c r="H168" s="7">
        <v>136</v>
      </c>
      <c r="I168" s="7">
        <v>134</v>
      </c>
    </row>
    <row r="169" spans="1:9" x14ac:dyDescent="0.25">
      <c r="A169" s="4" t="s">
        <v>120</v>
      </c>
      <c r="B169" s="7">
        <v>46</v>
      </c>
      <c r="C169" s="7">
        <v>48</v>
      </c>
      <c r="D169" s="7">
        <v>54</v>
      </c>
      <c r="E169" s="7">
        <v>56</v>
      </c>
      <c r="F169" s="7">
        <v>50</v>
      </c>
      <c r="G169" s="7">
        <v>44</v>
      </c>
      <c r="H169" s="7">
        <v>46</v>
      </c>
      <c r="I169" s="7">
        <v>41</v>
      </c>
    </row>
    <row r="170" spans="1:9" x14ac:dyDescent="0.25">
      <c r="A170" s="4" t="s">
        <v>121</v>
      </c>
      <c r="B170" s="7">
        <v>49</v>
      </c>
      <c r="C170" s="7">
        <v>42</v>
      </c>
      <c r="D170" s="7">
        <v>54</v>
      </c>
      <c r="E170" s="7">
        <v>55</v>
      </c>
      <c r="F170" s="7">
        <v>53</v>
      </c>
      <c r="G170" s="7">
        <v>46</v>
      </c>
      <c r="H170" s="7">
        <v>43</v>
      </c>
      <c r="I170" s="7">
        <v>42</v>
      </c>
    </row>
    <row r="171" spans="1:9" x14ac:dyDescent="0.25">
      <c r="A171" s="4" t="s">
        <v>122</v>
      </c>
      <c r="B171" s="7">
        <v>210</v>
      </c>
      <c r="C171" s="7">
        <v>230</v>
      </c>
      <c r="D171" s="7">
        <v>233</v>
      </c>
      <c r="E171" s="7">
        <v>217</v>
      </c>
      <c r="F171" s="7">
        <v>195</v>
      </c>
      <c r="G171" s="7">
        <v>214</v>
      </c>
      <c r="H171" s="7">
        <v>222</v>
      </c>
      <c r="I171" s="7">
        <v>220</v>
      </c>
    </row>
    <row r="172" spans="1:9" x14ac:dyDescent="0.25">
      <c r="A172" s="14" t="s">
        <v>133</v>
      </c>
      <c r="B172" s="15">
        <f t="shared" ref="B172:I172" si="32">+SUM(B167:B171)</f>
        <v>513</v>
      </c>
      <c r="C172" s="15">
        <f t="shared" si="32"/>
        <v>538</v>
      </c>
      <c r="D172" s="15">
        <f t="shared" si="32"/>
        <v>587</v>
      </c>
      <c r="E172" s="15">
        <f t="shared" si="32"/>
        <v>604</v>
      </c>
      <c r="F172" s="15">
        <f t="shared" si="32"/>
        <v>558</v>
      </c>
      <c r="G172" s="15">
        <f t="shared" si="32"/>
        <v>584</v>
      </c>
      <c r="H172" s="15">
        <f t="shared" si="32"/>
        <v>577</v>
      </c>
      <c r="I172" s="15">
        <f t="shared" si="32"/>
        <v>561</v>
      </c>
    </row>
    <row r="173" spans="1:9" x14ac:dyDescent="0.25">
      <c r="A173" s="4" t="s">
        <v>124</v>
      </c>
      <c r="B173" s="7">
        <v>18</v>
      </c>
      <c r="C173" s="7">
        <v>27</v>
      </c>
      <c r="D173" s="7">
        <v>28</v>
      </c>
      <c r="E173" s="7">
        <v>33</v>
      </c>
      <c r="F173" s="7">
        <v>31</v>
      </c>
      <c r="G173" s="7">
        <v>25</v>
      </c>
      <c r="H173" s="7">
        <v>26</v>
      </c>
      <c r="I173" s="7">
        <v>22</v>
      </c>
    </row>
    <row r="174" spans="1:9" x14ac:dyDescent="0.25">
      <c r="A174" s="4" t="s">
        <v>126</v>
      </c>
      <c r="B174" s="7">
        <v>75</v>
      </c>
      <c r="C174" s="7">
        <v>84</v>
      </c>
      <c r="D174" s="7">
        <v>91</v>
      </c>
      <c r="E174" s="7">
        <v>110</v>
      </c>
      <c r="F174" s="7">
        <v>116</v>
      </c>
      <c r="G174" s="7">
        <v>112</v>
      </c>
      <c r="H174" s="7">
        <v>141</v>
      </c>
      <c r="I174" s="7">
        <v>134</v>
      </c>
    </row>
    <row r="175" spans="1:9" x14ac:dyDescent="0.25">
      <c r="A175" s="16" t="s">
        <v>138</v>
      </c>
      <c r="B175" s="17">
        <f t="shared" ref="B175:I175" si="33">+SUM(B172:B174)</f>
        <v>606</v>
      </c>
      <c r="C175" s="17">
        <f t="shared" si="33"/>
        <v>649</v>
      </c>
      <c r="D175" s="17">
        <f t="shared" si="33"/>
        <v>706</v>
      </c>
      <c r="E175" s="17">
        <f t="shared" si="33"/>
        <v>747</v>
      </c>
      <c r="F175" s="17">
        <f t="shared" si="33"/>
        <v>705</v>
      </c>
      <c r="G175" s="17">
        <f t="shared" si="33"/>
        <v>721</v>
      </c>
      <c r="H175" s="17">
        <f t="shared" si="33"/>
        <v>744</v>
      </c>
      <c r="I175" s="17">
        <f t="shared" si="33"/>
        <v>717</v>
      </c>
    </row>
    <row r="176" spans="1:9" x14ac:dyDescent="0.25">
      <c r="A176" s="19" t="s">
        <v>128</v>
      </c>
      <c r="B176" s="20">
        <f t="shared" ref="B176:I176" si="34">+B175-B66</f>
        <v>0</v>
      </c>
      <c r="C176" s="20">
        <f t="shared" si="34"/>
        <v>0</v>
      </c>
      <c r="D176" s="20">
        <f t="shared" si="34"/>
        <v>0</v>
      </c>
      <c r="E176" s="20">
        <f t="shared" si="34"/>
        <v>0</v>
      </c>
      <c r="F176" s="20">
        <f t="shared" si="34"/>
        <v>0</v>
      </c>
      <c r="G176" s="20">
        <f t="shared" si="34"/>
        <v>0</v>
      </c>
      <c r="H176" s="20">
        <f t="shared" si="34"/>
        <v>0</v>
      </c>
      <c r="I176" s="20">
        <f t="shared" si="34"/>
        <v>0</v>
      </c>
    </row>
    <row r="177" spans="1:9" x14ac:dyDescent="0.25">
      <c r="A177" s="21" t="s">
        <v>139</v>
      </c>
      <c r="B177" s="21"/>
      <c r="C177" s="21"/>
      <c r="D177" s="21"/>
      <c r="E177" s="21"/>
      <c r="F177" s="21"/>
      <c r="G177" s="21"/>
      <c r="H177" s="21"/>
      <c r="I177" s="21"/>
    </row>
    <row r="178" spans="1:9" x14ac:dyDescent="0.25">
      <c r="A178" s="27" t="s">
        <v>140</v>
      </c>
    </row>
    <row r="179" spans="1:9" x14ac:dyDescent="0.25">
      <c r="A179" s="28" t="s">
        <v>115</v>
      </c>
      <c r="B179" s="29">
        <f>(13740-12299)/12299</f>
        <v>0.11716399707293276</v>
      </c>
      <c r="C179" s="29">
        <f t="shared" ref="C179:I188" si="35">((C107-B107)/B107)</f>
        <v>7.4526928675400297E-2</v>
      </c>
      <c r="D179" s="29">
        <f t="shared" si="35"/>
        <v>3.061500948252506E-2</v>
      </c>
      <c r="E179" s="29">
        <f t="shared" si="35"/>
        <v>-2.3725026288117772E-2</v>
      </c>
      <c r="F179" s="29">
        <f t="shared" si="35"/>
        <v>7.0481319421070346E-2</v>
      </c>
      <c r="G179" s="29">
        <f t="shared" si="35"/>
        <v>-8.9171173437303478E-2</v>
      </c>
      <c r="H179" s="29">
        <f t="shared" si="35"/>
        <v>0.18606738470035902</v>
      </c>
      <c r="I179" s="29">
        <f t="shared" si="35"/>
        <v>6.8339251411607196E-2</v>
      </c>
    </row>
    <row r="180" spans="1:9" x14ac:dyDescent="0.25">
      <c r="A180" s="30" t="s">
        <v>116</v>
      </c>
      <c r="B180" s="31">
        <f>(8506-7495)/7495</f>
        <v>0.13488992661774515</v>
      </c>
      <c r="C180" s="31">
        <f t="shared" si="35"/>
        <v>9.3228309428638606E-2</v>
      </c>
      <c r="D180" s="31">
        <f t="shared" si="35"/>
        <v>4.1402301322722872E-2</v>
      </c>
      <c r="E180" s="31">
        <f t="shared" si="35"/>
        <v>-3.7381247418422137E-2</v>
      </c>
      <c r="F180" s="31">
        <f t="shared" si="35"/>
        <v>7.7558463848959452E-2</v>
      </c>
      <c r="G180" s="31">
        <f t="shared" si="35"/>
        <v>-7.1279243404678949E-2</v>
      </c>
      <c r="H180" s="31">
        <f t="shared" si="35"/>
        <v>0.24815092721620752</v>
      </c>
      <c r="I180" s="31">
        <f t="shared" si="35"/>
        <v>5.015458605290278E-2</v>
      </c>
    </row>
    <row r="181" spans="1:9" x14ac:dyDescent="0.25">
      <c r="A181" s="30" t="s">
        <v>117</v>
      </c>
      <c r="B181" s="31">
        <f>(4410-3937)/3937</f>
        <v>0.12014224028448058</v>
      </c>
      <c r="C181" s="31">
        <f t="shared" si="35"/>
        <v>7.6190476190476197E-2</v>
      </c>
      <c r="D181" s="31">
        <f t="shared" si="35"/>
        <v>2.9498525073746312E-2</v>
      </c>
      <c r="E181" s="31">
        <f t="shared" si="35"/>
        <v>1.0642652476463364E-2</v>
      </c>
      <c r="F181" s="31">
        <f t="shared" si="35"/>
        <v>6.5208586472255969E-2</v>
      </c>
      <c r="G181" s="31">
        <f t="shared" si="35"/>
        <v>-0.11806083650190113</v>
      </c>
      <c r="H181" s="31">
        <f t="shared" si="35"/>
        <v>8.3854278939426596E-2</v>
      </c>
      <c r="I181" s="31">
        <f t="shared" si="35"/>
        <v>9.2283214001591091E-2</v>
      </c>
    </row>
    <row r="182" spans="1:9" x14ac:dyDescent="0.25">
      <c r="A182" s="30" t="s">
        <v>118</v>
      </c>
      <c r="B182" s="31">
        <f>(824-867)/867</f>
        <v>-4.9596309111880045E-2</v>
      </c>
      <c r="C182" s="31">
        <f t="shared" si="35"/>
        <v>-0.12742718446601942</v>
      </c>
      <c r="D182" s="31">
        <f t="shared" si="35"/>
        <v>-0.10152990264255911</v>
      </c>
      <c r="E182" s="31">
        <f t="shared" si="35"/>
        <v>-7.8947368421052627E-2</v>
      </c>
      <c r="F182" s="31">
        <f t="shared" si="35"/>
        <v>3.3613445378151263E-3</v>
      </c>
      <c r="G182" s="31">
        <f t="shared" si="35"/>
        <v>-0.135678391959799</v>
      </c>
      <c r="H182" s="31">
        <f t="shared" si="35"/>
        <v>-1.7441860465116279E-2</v>
      </c>
      <c r="I182" s="31">
        <f t="shared" si="35"/>
        <v>0.24852071005917159</v>
      </c>
    </row>
    <row r="183" spans="1:9" x14ac:dyDescent="0.25">
      <c r="A183" s="28" t="s">
        <v>119</v>
      </c>
      <c r="B183" s="29">
        <f>(7126-6366)/6366</f>
        <v>0.1193842287150487</v>
      </c>
      <c r="C183" s="29">
        <f t="shared" si="35"/>
        <v>6.2026382262138649E-2</v>
      </c>
      <c r="D183" s="29">
        <f t="shared" si="35"/>
        <v>5.3118393234672302E-2</v>
      </c>
      <c r="E183" s="29">
        <f t="shared" si="35"/>
        <v>0.15959849435382686</v>
      </c>
      <c r="F183" s="29">
        <f t="shared" si="35"/>
        <v>6.1674962129409219E-2</v>
      </c>
      <c r="G183" s="29">
        <f t="shared" si="35"/>
        <v>-4.7390949857317573E-2</v>
      </c>
      <c r="H183" s="29">
        <f t="shared" si="35"/>
        <v>0.22563389322777361</v>
      </c>
      <c r="I183" s="29">
        <f t="shared" si="35"/>
        <v>8.9298184357541902E-2</v>
      </c>
    </row>
    <row r="184" spans="1:9" x14ac:dyDescent="0.25">
      <c r="A184" s="30" t="s">
        <v>116</v>
      </c>
      <c r="B184" s="31">
        <f>(4703-4062)/4062</f>
        <v>0.15780403741999016</v>
      </c>
      <c r="C184" s="31">
        <f t="shared" si="35"/>
        <v>7.2294280246651077E-2</v>
      </c>
      <c r="D184" s="31">
        <f t="shared" si="35"/>
        <v>2.9545905215149711E-2</v>
      </c>
      <c r="E184" s="31">
        <f t="shared" si="35"/>
        <v>0.13154853620955315</v>
      </c>
      <c r="F184" s="31">
        <f t="shared" si="35"/>
        <v>7.114893617021277E-2</v>
      </c>
      <c r="G184" s="31">
        <f t="shared" si="35"/>
        <v>-6.3721595423486418E-2</v>
      </c>
      <c r="H184" s="31">
        <f t="shared" si="35"/>
        <v>0.18295994568906992</v>
      </c>
      <c r="I184" s="31">
        <f t="shared" si="35"/>
        <v>5.9971305595408898E-2</v>
      </c>
    </row>
    <row r="185" spans="1:9" x14ac:dyDescent="0.25">
      <c r="A185" s="30" t="s">
        <v>117</v>
      </c>
      <c r="B185" s="31">
        <f>(2051-1959)/1959</f>
        <v>4.6962736089841757E-2</v>
      </c>
      <c r="C185" s="31">
        <f t="shared" si="35"/>
        <v>4.778156996587031E-2</v>
      </c>
      <c r="D185" s="31">
        <f t="shared" si="35"/>
        <v>0.11447184737087017</v>
      </c>
      <c r="E185" s="31">
        <f t="shared" si="35"/>
        <v>0.22755741127348644</v>
      </c>
      <c r="F185" s="31">
        <f t="shared" si="35"/>
        <v>0.05</v>
      </c>
      <c r="G185" s="31">
        <f t="shared" si="35"/>
        <v>-1.101392938127632E-2</v>
      </c>
      <c r="H185" s="31">
        <f t="shared" si="35"/>
        <v>0.30887651490337376</v>
      </c>
      <c r="I185" s="31">
        <f t="shared" si="35"/>
        <v>0.13288288288288289</v>
      </c>
    </row>
    <row r="186" spans="1:9" x14ac:dyDescent="0.25">
      <c r="A186" s="30" t="s">
        <v>118</v>
      </c>
      <c r="B186" s="31">
        <f>(372-345)/345</f>
        <v>7.8260869565217397E-2</v>
      </c>
      <c r="C186" s="31">
        <f t="shared" si="35"/>
        <v>1.0752688172043012E-2</v>
      </c>
      <c r="D186" s="31">
        <f t="shared" si="35"/>
        <v>1.8617021276595744E-2</v>
      </c>
      <c r="E186" s="31">
        <f t="shared" si="35"/>
        <v>0.11488250652741515</v>
      </c>
      <c r="F186" s="31">
        <f t="shared" si="35"/>
        <v>1.1709601873536301E-2</v>
      </c>
      <c r="G186" s="31">
        <f t="shared" si="35"/>
        <v>-6.9444444444444448E-2</v>
      </c>
      <c r="H186" s="31">
        <f t="shared" si="35"/>
        <v>0.21890547263681592</v>
      </c>
      <c r="I186" s="31">
        <f t="shared" si="35"/>
        <v>0.15102040816326531</v>
      </c>
    </row>
    <row r="187" spans="1:9" x14ac:dyDescent="0.25">
      <c r="A187" s="28" t="s">
        <v>120</v>
      </c>
      <c r="B187" s="29">
        <f>(3067-2602)/2602</f>
        <v>0.17870868562644121</v>
      </c>
      <c r="C187" s="29">
        <f t="shared" si="35"/>
        <v>0.23410498858819692</v>
      </c>
      <c r="D187" s="29">
        <f t="shared" si="35"/>
        <v>0.11941875825627477</v>
      </c>
      <c r="E187" s="29">
        <f t="shared" si="35"/>
        <v>0.21170639603493038</v>
      </c>
      <c r="F187" s="29">
        <f t="shared" si="35"/>
        <v>0.20919361121932217</v>
      </c>
      <c r="G187" s="29">
        <f t="shared" si="35"/>
        <v>7.5869845360824736E-2</v>
      </c>
      <c r="H187" s="29">
        <f t="shared" si="35"/>
        <v>0.24120377301991316</v>
      </c>
      <c r="I187" s="29">
        <f t="shared" si="35"/>
        <v>-8.9626055488540413E-2</v>
      </c>
    </row>
    <row r="188" spans="1:9" x14ac:dyDescent="0.25">
      <c r="A188" s="30" t="s">
        <v>116</v>
      </c>
      <c r="B188" s="31">
        <f>(2016-1600)/1600</f>
        <v>0.26</v>
      </c>
      <c r="C188" s="31">
        <f t="shared" si="35"/>
        <v>0.28918650793650796</v>
      </c>
      <c r="D188" s="31">
        <f t="shared" si="35"/>
        <v>0.12350904193920739</v>
      </c>
      <c r="E188" s="31">
        <f t="shared" si="35"/>
        <v>0.19726027397260273</v>
      </c>
      <c r="F188" s="31">
        <f t="shared" si="35"/>
        <v>0.21910755148741418</v>
      </c>
      <c r="G188" s="31">
        <f t="shared" si="35"/>
        <v>8.7517597372125763E-2</v>
      </c>
      <c r="H188" s="31">
        <f t="shared" si="35"/>
        <v>0.24012944983818771</v>
      </c>
      <c r="I188" s="31">
        <f t="shared" si="35"/>
        <v>-5.7759220598469031E-2</v>
      </c>
    </row>
    <row r="189" spans="1:9" x14ac:dyDescent="0.25">
      <c r="A189" s="30" t="s">
        <v>117</v>
      </c>
      <c r="B189" s="31">
        <f>(925-876)/876</f>
        <v>5.5936073059360727E-2</v>
      </c>
      <c r="C189" s="31">
        <f t="shared" ref="C189:I198" si="36">((C117-B117)/B117)</f>
        <v>0.14054054054054055</v>
      </c>
      <c r="D189" s="31">
        <f t="shared" si="36"/>
        <v>0.12606635071090047</v>
      </c>
      <c r="E189" s="31">
        <f t="shared" si="36"/>
        <v>0.26936026936026936</v>
      </c>
      <c r="F189" s="31">
        <f t="shared" si="36"/>
        <v>0.19893899204244031</v>
      </c>
      <c r="G189" s="31">
        <f t="shared" si="36"/>
        <v>4.8672566371681415E-2</v>
      </c>
      <c r="H189" s="31">
        <f t="shared" si="36"/>
        <v>0.2378691983122363</v>
      </c>
      <c r="I189" s="31">
        <f t="shared" si="36"/>
        <v>-0.17426501917341286</v>
      </c>
    </row>
    <row r="190" spans="1:9" x14ac:dyDescent="0.25">
      <c r="A190" s="30" t="s">
        <v>118</v>
      </c>
      <c r="B190" s="31">
        <f>(126-126)/126</f>
        <v>0</v>
      </c>
      <c r="C190" s="31">
        <f t="shared" si="36"/>
        <v>3.968253968253968E-2</v>
      </c>
      <c r="D190" s="31">
        <f t="shared" si="36"/>
        <v>-1.5267175572519083E-2</v>
      </c>
      <c r="E190" s="31">
        <f t="shared" si="36"/>
        <v>7.7519379844961239E-3</v>
      </c>
      <c r="F190" s="31">
        <f t="shared" si="36"/>
        <v>6.1538461538461542E-2</v>
      </c>
      <c r="G190" s="31">
        <f t="shared" si="36"/>
        <v>7.2463768115942032E-2</v>
      </c>
      <c r="H190" s="31">
        <f t="shared" si="36"/>
        <v>0.31756756756756754</v>
      </c>
      <c r="I190" s="31">
        <f t="shared" si="36"/>
        <v>-1.0256410256410256E-2</v>
      </c>
    </row>
    <row r="191" spans="1:9" x14ac:dyDescent="0.25">
      <c r="A191" s="28" t="s">
        <v>121</v>
      </c>
      <c r="B191" s="29">
        <f>(4653-4720)/4720</f>
        <v>-1.4194915254237288E-2</v>
      </c>
      <c r="C191" s="29">
        <f t="shared" si="36"/>
        <v>-7.2211476466795613E-2</v>
      </c>
      <c r="D191" s="29">
        <f t="shared" si="36"/>
        <v>9.7289784572619872E-2</v>
      </c>
      <c r="E191" s="29">
        <f t="shared" si="36"/>
        <v>9.0563647878404055E-2</v>
      </c>
      <c r="F191" s="29">
        <f t="shared" si="36"/>
        <v>1.7034456058846303E-2</v>
      </c>
      <c r="G191" s="29">
        <f t="shared" si="36"/>
        <v>-4.3014845831747243E-2</v>
      </c>
      <c r="H191" s="29">
        <f t="shared" si="36"/>
        <v>6.2649164677804292E-2</v>
      </c>
      <c r="I191" s="29">
        <f t="shared" si="36"/>
        <v>0.11454239191465469</v>
      </c>
    </row>
    <row r="192" spans="1:9" x14ac:dyDescent="0.25">
      <c r="A192" s="30" t="s">
        <v>116</v>
      </c>
      <c r="B192" s="31">
        <f>(3093-3051)/3051</f>
        <v>1.376597836774828E-2</v>
      </c>
      <c r="C192" s="31">
        <f t="shared" si="36"/>
        <v>-5.2699644358228256E-2</v>
      </c>
      <c r="D192" s="31">
        <f t="shared" si="36"/>
        <v>0.12116040955631399</v>
      </c>
      <c r="E192" s="31">
        <f t="shared" si="36"/>
        <v>8.8280060882800604E-2</v>
      </c>
      <c r="F192" s="31">
        <f t="shared" si="36"/>
        <v>1.3146853146853148E-2</v>
      </c>
      <c r="G192" s="31">
        <f t="shared" si="36"/>
        <v>-4.7763666482606291E-2</v>
      </c>
      <c r="H192" s="31">
        <f t="shared" si="36"/>
        <v>6.0887213685126125E-2</v>
      </c>
      <c r="I192" s="31">
        <f t="shared" si="36"/>
        <v>0.1235310194042088</v>
      </c>
    </row>
    <row r="193" spans="1:9" x14ac:dyDescent="0.25">
      <c r="A193" s="30" t="s">
        <v>117</v>
      </c>
      <c r="B193" s="31">
        <f>(B121-1337)/1337</f>
        <v>-6.4323111443530298E-2</v>
      </c>
      <c r="C193" s="31">
        <f t="shared" si="36"/>
        <v>-0.10711430855315747</v>
      </c>
      <c r="D193" s="31">
        <f t="shared" si="36"/>
        <v>6.087735004476276E-2</v>
      </c>
      <c r="E193" s="31">
        <f t="shared" si="36"/>
        <v>0.13670886075949368</v>
      </c>
      <c r="F193" s="31">
        <f t="shared" si="36"/>
        <v>3.5634743875278395E-2</v>
      </c>
      <c r="G193" s="31">
        <f t="shared" si="36"/>
        <v>-2.1505376344086023E-2</v>
      </c>
      <c r="H193" s="31">
        <f t="shared" si="36"/>
        <v>9.4505494505494503E-2</v>
      </c>
      <c r="I193" s="31">
        <f t="shared" si="36"/>
        <v>7.7643908969210168E-2</v>
      </c>
    </row>
    <row r="194" spans="1:9" x14ac:dyDescent="0.25">
      <c r="A194" s="30" t="s">
        <v>118</v>
      </c>
      <c r="B194" s="31">
        <f>(B122-332)/332</f>
        <v>-6.9277108433734941E-2</v>
      </c>
      <c r="C194" s="31">
        <f t="shared" si="36"/>
        <v>-0.12621359223300971</v>
      </c>
      <c r="D194" s="31">
        <f t="shared" si="36"/>
        <v>-1.1111111111111112E-2</v>
      </c>
      <c r="E194" s="31">
        <f t="shared" si="36"/>
        <v>-8.6142322097378279E-2</v>
      </c>
      <c r="F194" s="31">
        <f t="shared" si="36"/>
        <v>-2.8688524590163935E-2</v>
      </c>
      <c r="G194" s="31">
        <f t="shared" si="36"/>
        <v>-9.7046413502109699E-2</v>
      </c>
      <c r="H194" s="31">
        <f t="shared" si="36"/>
        <v>-0.11214953271028037</v>
      </c>
      <c r="I194" s="31">
        <f t="shared" si="36"/>
        <v>0.23157894736842105</v>
      </c>
    </row>
    <row r="195" spans="1:9" x14ac:dyDescent="0.25">
      <c r="A195" s="28" t="s">
        <v>122</v>
      </c>
      <c r="B195" s="29">
        <f>(115-125)/125</f>
        <v>-0.08</v>
      </c>
      <c r="C195" s="32">
        <f t="shared" si="36"/>
        <v>-0.36521739130434783</v>
      </c>
      <c r="D195" s="32">
        <f t="shared" si="36"/>
        <v>0</v>
      </c>
      <c r="E195" s="32">
        <f t="shared" si="36"/>
        <v>0.20547945205479451</v>
      </c>
      <c r="F195" s="32">
        <f t="shared" si="36"/>
        <v>-0.52272727272727271</v>
      </c>
      <c r="G195" s="32">
        <f t="shared" si="36"/>
        <v>-0.2857142857142857</v>
      </c>
      <c r="H195" s="29">
        <f t="shared" si="36"/>
        <v>-0.16666666666666666</v>
      </c>
      <c r="I195" s="29">
        <f t="shared" si="36"/>
        <v>3.08</v>
      </c>
    </row>
    <row r="196" spans="1:9" x14ac:dyDescent="0.25">
      <c r="A196" s="33" t="s">
        <v>123</v>
      </c>
      <c r="B196" s="34">
        <f>(28701-26112)/26112</f>
        <v>9.914981617647059E-2</v>
      </c>
      <c r="C196" s="31">
        <f t="shared" si="36"/>
        <v>6.2924636772237905E-2</v>
      </c>
      <c r="D196" s="31">
        <f t="shared" si="36"/>
        <v>5.6577179008096501E-2</v>
      </c>
      <c r="E196" s="31">
        <f t="shared" si="36"/>
        <v>6.9866286104303038E-2</v>
      </c>
      <c r="F196" s="31">
        <f t="shared" si="36"/>
        <v>7.9251848629839056E-2</v>
      </c>
      <c r="G196" s="31">
        <f t="shared" si="36"/>
        <v>-4.4333387070772209E-2</v>
      </c>
      <c r="H196" s="35">
        <f t="shared" si="36"/>
        <v>0.18907444894286998</v>
      </c>
      <c r="I196" s="35">
        <f t="shared" si="36"/>
        <v>5.0670323694228359E-2</v>
      </c>
    </row>
    <row r="197" spans="1:9" x14ac:dyDescent="0.25">
      <c r="A197" s="28" t="s">
        <v>124</v>
      </c>
      <c r="B197" s="29">
        <f>(1982-1684)/1684</f>
        <v>0.17695961995249407</v>
      </c>
      <c r="C197" s="29">
        <f t="shared" si="36"/>
        <v>-1.3622603430877902E-2</v>
      </c>
      <c r="D197" s="29">
        <f t="shared" si="36"/>
        <v>4.4501278772378514E-2</v>
      </c>
      <c r="E197" s="29">
        <f t="shared" si="36"/>
        <v>-7.6395690499510283E-2</v>
      </c>
      <c r="F197" s="29">
        <f t="shared" si="36"/>
        <v>1.0604453870625663E-2</v>
      </c>
      <c r="G197" s="29">
        <f t="shared" si="36"/>
        <v>-3.1479538300104928E-2</v>
      </c>
      <c r="H197" s="29">
        <f t="shared" si="36"/>
        <v>0.19447453954496208</v>
      </c>
      <c r="I197" s="29">
        <f t="shared" si="36"/>
        <v>6.3945578231292516E-2</v>
      </c>
    </row>
    <row r="198" spans="1:9" x14ac:dyDescent="0.25">
      <c r="A198" s="30" t="s">
        <v>116</v>
      </c>
      <c r="B198" s="31">
        <f>(18318-16208)/16208</f>
        <v>0.13018262586377097</v>
      </c>
      <c r="C198" s="31">
        <f t="shared" si="36"/>
        <v>8.4779997816355493E-2</v>
      </c>
      <c r="D198" s="31">
        <f t="shared" si="36"/>
        <v>6.0892758290976803E-2</v>
      </c>
      <c r="E198" s="31">
        <f t="shared" si="36"/>
        <v>5.6306626820359564E-2</v>
      </c>
      <c r="F198" s="31">
        <f t="shared" si="36"/>
        <v>0.16220585593677025</v>
      </c>
      <c r="G198" s="31">
        <f t="shared" si="36"/>
        <v>-3.6051004636785164E-2</v>
      </c>
      <c r="H198" s="31">
        <f t="shared" si="36"/>
        <v>-0.92039122940634144</v>
      </c>
      <c r="I198" s="31">
        <f t="shared" si="36"/>
        <v>5.4380664652567974E-2</v>
      </c>
    </row>
    <row r="199" spans="1:9" x14ac:dyDescent="0.25">
      <c r="A199" s="30" t="s">
        <v>117</v>
      </c>
      <c r="B199" s="31">
        <f>(8637-8109)/8109</f>
        <v>6.5112837587865333E-2</v>
      </c>
      <c r="C199" s="31">
        <f t="shared" ref="C199:I208" si="37">((C127-B127)/B127)</f>
        <v>4.978580525645479E-2</v>
      </c>
      <c r="D199" s="31">
        <f t="shared" si="37"/>
        <v>6.4740266901952129E-2</v>
      </c>
      <c r="E199" s="31">
        <f t="shared" si="37"/>
        <v>0.11176714315309716</v>
      </c>
      <c r="F199" s="31">
        <f t="shared" si="37"/>
        <v>8.7114506661697566E-2</v>
      </c>
      <c r="G199" s="31">
        <f t="shared" si="37"/>
        <v>-5.3651011312992804E-2</v>
      </c>
      <c r="H199" s="31">
        <f t="shared" si="37"/>
        <v>-0.99058141641007069</v>
      </c>
      <c r="I199" s="31">
        <f t="shared" si="37"/>
        <v>-9.6153846153846159E-3</v>
      </c>
    </row>
    <row r="200" spans="1:9" x14ac:dyDescent="0.25">
      <c r="A200" s="30" t="s">
        <v>118</v>
      </c>
      <c r="B200" s="31">
        <f>(1631-1670)/1670</f>
        <v>-2.3353293413173652E-2</v>
      </c>
      <c r="C200" s="31">
        <f t="shared" si="37"/>
        <v>-8.2771305947271612E-2</v>
      </c>
      <c r="D200" s="31">
        <f t="shared" si="37"/>
        <v>-4.7459893048128345E-2</v>
      </c>
      <c r="E200" s="31">
        <f t="shared" si="37"/>
        <v>-2.0350877192982456E-2</v>
      </c>
      <c r="F200" s="31">
        <f t="shared" si="37"/>
        <v>2.2922636103151862E-2</v>
      </c>
      <c r="G200" s="31">
        <f t="shared" si="37"/>
        <v>-8.6134453781512604E-2</v>
      </c>
      <c r="H200" s="31">
        <f t="shared" si="37"/>
        <v>-0.97777777777777775</v>
      </c>
      <c r="I200" s="31">
        <f t="shared" si="37"/>
        <v>-0.10344827586206896</v>
      </c>
    </row>
    <row r="201" spans="1:9" x14ac:dyDescent="0.25">
      <c r="A201" s="30" t="s">
        <v>125</v>
      </c>
      <c r="B201" s="31">
        <f>(2015-1812)/1812</f>
        <v>0.1120309050772627</v>
      </c>
      <c r="C201" s="31">
        <f t="shared" si="37"/>
        <v>-3.6228287841191066E-2</v>
      </c>
      <c r="D201" s="31">
        <f t="shared" si="37"/>
        <v>0.12770339855818744</v>
      </c>
      <c r="E201" s="31">
        <f t="shared" si="37"/>
        <v>-8.6757990867579904E-2</v>
      </c>
      <c r="F201" s="31">
        <f t="shared" si="37"/>
        <v>-0.92949999999999999</v>
      </c>
      <c r="G201" s="31">
        <f t="shared" si="37"/>
        <v>-0.22695035460992907</v>
      </c>
      <c r="H201" s="31">
        <f t="shared" si="37"/>
        <v>-0.21100917431192662</v>
      </c>
      <c r="I201" s="31">
        <f t="shared" si="37"/>
        <v>0.43023255813953487</v>
      </c>
    </row>
    <row r="202" spans="1:9" x14ac:dyDescent="0.25">
      <c r="A202" s="36" t="s">
        <v>126</v>
      </c>
      <c r="B202" s="31">
        <f>((-82)-3)/3</f>
        <v>-28.333333333333332</v>
      </c>
      <c r="C202" s="31">
        <f t="shared" si="37"/>
        <v>4.878048780487805E-2</v>
      </c>
      <c r="D202" s="31">
        <f t="shared" si="37"/>
        <v>-1.8720930232558139</v>
      </c>
      <c r="E202" s="31">
        <f t="shared" si="37"/>
        <v>-0.65333333333333332</v>
      </c>
      <c r="F202" s="31">
        <f t="shared" si="37"/>
        <v>-1.2692307692307692</v>
      </c>
      <c r="G202" s="31">
        <f t="shared" si="37"/>
        <v>0.5714285714285714</v>
      </c>
      <c r="H202" s="31">
        <f t="shared" si="37"/>
        <v>-4.6363636363636367</v>
      </c>
      <c r="I202" s="31">
        <f t="shared" si="37"/>
        <v>-2.8</v>
      </c>
    </row>
    <row r="203" spans="1:9" x14ac:dyDescent="0.25">
      <c r="A203" s="37" t="s">
        <v>127</v>
      </c>
      <c r="B203" s="38">
        <f>(30601-27799)/27799</f>
        <v>0.10079499262563402</v>
      </c>
      <c r="C203" s="38">
        <f t="shared" si="37"/>
        <v>5.8004640371229696E-2</v>
      </c>
      <c r="D203" s="38">
        <f t="shared" si="37"/>
        <v>6.0971089696071165E-2</v>
      </c>
      <c r="E203" s="38">
        <f t="shared" si="37"/>
        <v>5.9592430858806403E-2</v>
      </c>
      <c r="F203" s="38">
        <f t="shared" si="37"/>
        <v>7.4731433909388134E-2</v>
      </c>
      <c r="G203" s="38">
        <f t="shared" si="37"/>
        <v>-4.3817266150267146E-2</v>
      </c>
      <c r="H203" s="38">
        <f t="shared" si="37"/>
        <v>0.1907600994572628</v>
      </c>
      <c r="I203" s="38">
        <f t="shared" si="37"/>
        <v>4.8767344739323724E-2</v>
      </c>
    </row>
  </sheetData>
  <pageMargins left="0.7" right="0.7" top="0.75" bottom="0.75" header="0.511811023622047" footer="0.511811023622047"/>
  <pageSetup paperSize="9" orientation="portrait" horizontalDpi="300" verticalDpi="300"/>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2"/>
  <sheetViews>
    <sheetView zoomScale="80" zoomScaleNormal="80" workbookViewId="0">
      <selection activeCell="N8" sqref="N8"/>
    </sheetView>
  </sheetViews>
  <sheetFormatPr defaultColWidth="8.7109375" defaultRowHeight="15" x14ac:dyDescent="0.25"/>
  <cols>
    <col min="1" max="1" width="48.7109375" customWidth="1"/>
    <col min="2" max="9" width="11.7109375" customWidth="1"/>
    <col min="10" max="10" width="10.5703125" bestFit="1" customWidth="1"/>
    <col min="11" max="14" width="11.7109375" customWidth="1"/>
  </cols>
  <sheetData>
    <row r="1" spans="1:21" ht="60" customHeight="1" x14ac:dyDescent="0.25">
      <c r="A1" s="5" t="s">
        <v>11</v>
      </c>
      <c r="B1" s="6">
        <f t="shared" ref="B1:H1" si="0">+C1-1</f>
        <v>2015</v>
      </c>
      <c r="C1" s="6">
        <f t="shared" si="0"/>
        <v>2016</v>
      </c>
      <c r="D1" s="6">
        <f t="shared" si="0"/>
        <v>2017</v>
      </c>
      <c r="E1" s="6">
        <f t="shared" si="0"/>
        <v>2018</v>
      </c>
      <c r="F1" s="6">
        <f t="shared" si="0"/>
        <v>2019</v>
      </c>
      <c r="G1" s="6">
        <f t="shared" si="0"/>
        <v>2020</v>
      </c>
      <c r="H1" s="6">
        <f t="shared" si="0"/>
        <v>2021</v>
      </c>
      <c r="I1" s="6">
        <v>2022</v>
      </c>
      <c r="J1" s="39">
        <f>+I1+1</f>
        <v>2023</v>
      </c>
      <c r="K1" s="39">
        <f>+J1+1</f>
        <v>2024</v>
      </c>
      <c r="L1" s="39">
        <f>+K1+1</f>
        <v>2025</v>
      </c>
      <c r="M1" s="39">
        <f>+L1+1</f>
        <v>2026</v>
      </c>
      <c r="N1" s="39">
        <f>+M1+1</f>
        <v>2027</v>
      </c>
    </row>
    <row r="2" spans="1:21" x14ac:dyDescent="0.25">
      <c r="A2" s="40" t="s">
        <v>141</v>
      </c>
      <c r="B2" s="40"/>
      <c r="C2" s="40"/>
      <c r="D2" s="40"/>
      <c r="E2" s="40"/>
      <c r="F2" s="40"/>
      <c r="G2" s="40"/>
      <c r="H2" s="40"/>
      <c r="I2" s="40"/>
      <c r="J2" s="41">
        <f>J21+J52+J83+J115+J146+J177+J196</f>
        <v>48952.702159227978</v>
      </c>
      <c r="K2" s="41">
        <f>K21+K52+K83+K115+K146+K177+K196</f>
        <v>51131.279785125887</v>
      </c>
      <c r="L2" s="41">
        <f>L21+L52+L83+L115+L146+L177+L196</f>
        <v>53568.887925618234</v>
      </c>
      <c r="M2" s="41">
        <f>M21+M52+M83+M115+M146+M177+M196</f>
        <v>56276.595960880375</v>
      </c>
      <c r="N2" s="41">
        <f>N21+N52+N83+N115+N146+N177+N196</f>
        <v>59267.250373936222</v>
      </c>
    </row>
    <row r="3" spans="1:21" x14ac:dyDescent="0.25">
      <c r="A3" s="10" t="s">
        <v>142</v>
      </c>
      <c r="B3" s="10">
        <f t="shared" ref="B3:I3" si="1">B21+B52+B83+B115+B146+B177+B196</f>
        <v>30601</v>
      </c>
      <c r="C3" s="10">
        <f t="shared" si="1"/>
        <v>32376</v>
      </c>
      <c r="D3" s="10">
        <f t="shared" si="1"/>
        <v>34350</v>
      </c>
      <c r="E3" s="10">
        <f t="shared" si="1"/>
        <v>36397</v>
      </c>
      <c r="F3" s="10">
        <f t="shared" si="1"/>
        <v>39117</v>
      </c>
      <c r="G3" s="10">
        <f t="shared" si="1"/>
        <v>37403</v>
      </c>
      <c r="H3" s="10">
        <f t="shared" si="1"/>
        <v>44538</v>
      </c>
      <c r="I3" s="10">
        <f t="shared" si="1"/>
        <v>46710</v>
      </c>
      <c r="J3" s="10">
        <f>+I3*(1+I4)</f>
        <v>48987.922672773813</v>
      </c>
      <c r="K3" s="10">
        <f>+J3*(1+J4)</f>
        <v>51376.933585820305</v>
      </c>
      <c r="L3" s="10">
        <f>+K3*(1+K4)</f>
        <v>53882.450217649348</v>
      </c>
      <c r="M3" s="10">
        <f>+L3*(1+L4)</f>
        <v>56510.154242812903</v>
      </c>
      <c r="N3" s="10">
        <f>+M3*(1+M4)</f>
        <v>59266.004416044518</v>
      </c>
      <c r="O3" t="s">
        <v>143</v>
      </c>
    </row>
    <row r="4" spans="1:21" x14ac:dyDescent="0.25">
      <c r="A4" s="42" t="s">
        <v>144</v>
      </c>
      <c r="B4" s="43" t="str">
        <f t="shared" ref="B4:N4" si="2">+IFERROR(B3/A3-1,"nm")</f>
        <v>nm</v>
      </c>
      <c r="C4" s="43">
        <f t="shared" si="2"/>
        <v>5.8004640371229765E-2</v>
      </c>
      <c r="D4" s="43">
        <f t="shared" si="2"/>
        <v>6.0971089696071123E-2</v>
      </c>
      <c r="E4" s="43">
        <f t="shared" si="2"/>
        <v>5.95924308588065E-2</v>
      </c>
      <c r="F4" s="43">
        <f t="shared" si="2"/>
        <v>7.4731433909388079E-2</v>
      </c>
      <c r="G4" s="43">
        <f t="shared" si="2"/>
        <v>-4.3817266150267153E-2</v>
      </c>
      <c r="H4" s="43">
        <f t="shared" si="2"/>
        <v>0.19076009945726269</v>
      </c>
      <c r="I4" s="43">
        <f t="shared" si="2"/>
        <v>4.8767344739323759E-2</v>
      </c>
      <c r="J4" s="43">
        <f t="shared" si="2"/>
        <v>4.8767344739323759E-2</v>
      </c>
      <c r="K4" s="43">
        <f t="shared" si="2"/>
        <v>4.8767344739323759E-2</v>
      </c>
      <c r="L4" s="43">
        <f t="shared" si="2"/>
        <v>4.8767344739323759E-2</v>
      </c>
      <c r="M4" s="43">
        <f t="shared" si="2"/>
        <v>4.8767344739323759E-2</v>
      </c>
      <c r="N4" s="43">
        <f t="shared" si="2"/>
        <v>4.8767344739323759E-2</v>
      </c>
    </row>
    <row r="5" spans="1:21" x14ac:dyDescent="0.25">
      <c r="A5" s="10" t="s">
        <v>145</v>
      </c>
      <c r="B5" s="3">
        <f t="shared" ref="B5:I5" si="3">B35+B66+B98+B129+B160+B179+B198</f>
        <v>4839</v>
      </c>
      <c r="C5" s="3">
        <f t="shared" si="3"/>
        <v>5291</v>
      </c>
      <c r="D5" s="3">
        <f t="shared" si="3"/>
        <v>5651</v>
      </c>
      <c r="E5" s="3">
        <f t="shared" si="3"/>
        <v>5126</v>
      </c>
      <c r="F5" s="3">
        <f t="shared" si="3"/>
        <v>5555</v>
      </c>
      <c r="G5" s="3">
        <f t="shared" si="3"/>
        <v>3697</v>
      </c>
      <c r="H5" s="3">
        <f t="shared" si="3"/>
        <v>7667</v>
      </c>
      <c r="I5" s="3">
        <f t="shared" si="3"/>
        <v>7573</v>
      </c>
      <c r="J5" s="44">
        <f>+I5*(1+I6)</f>
        <v>7480.152471631669</v>
      </c>
      <c r="K5" s="44">
        <f>+J5*(1+J6)</f>
        <v>7388.4432852049868</v>
      </c>
      <c r="L5" s="44">
        <f>+K5*(1+K6)</f>
        <v>7297.8584842646887</v>
      </c>
      <c r="M5" s="44">
        <f>+L5*(1+L6)</f>
        <v>7208.3842834663483</v>
      </c>
      <c r="N5" s="44">
        <f>+M5*(1+M6)</f>
        <v>7120.0070664784998</v>
      </c>
      <c r="O5" t="s">
        <v>146</v>
      </c>
    </row>
    <row r="6" spans="1:21" x14ac:dyDescent="0.25">
      <c r="A6" s="42" t="s">
        <v>144</v>
      </c>
      <c r="B6" s="43" t="str">
        <f t="shared" ref="B6:N6" si="4">+IFERROR(B5/A5-1,"nm")</f>
        <v>nm</v>
      </c>
      <c r="C6" s="43">
        <f t="shared" si="4"/>
        <v>9.3407728869601137E-2</v>
      </c>
      <c r="D6" s="43">
        <f t="shared" si="4"/>
        <v>6.8040068040068125E-2</v>
      </c>
      <c r="E6" s="43">
        <f t="shared" si="4"/>
        <v>-9.2903910812245583E-2</v>
      </c>
      <c r="F6" s="43">
        <f t="shared" si="4"/>
        <v>8.3690987124463545E-2</v>
      </c>
      <c r="G6" s="43">
        <f t="shared" si="4"/>
        <v>-0.3344734473447345</v>
      </c>
      <c r="H6" s="43">
        <f t="shared" si="4"/>
        <v>1.0738436570192049</v>
      </c>
      <c r="I6" s="43">
        <f t="shared" si="4"/>
        <v>-1.2260336507108338E-2</v>
      </c>
      <c r="J6" s="43">
        <f t="shared" si="4"/>
        <v>-1.2260336507108338E-2</v>
      </c>
      <c r="K6" s="43">
        <f t="shared" si="4"/>
        <v>-1.2260336507108338E-2</v>
      </c>
      <c r="L6" s="43">
        <f t="shared" si="4"/>
        <v>-1.2260336507108338E-2</v>
      </c>
      <c r="M6" s="43">
        <f t="shared" si="4"/>
        <v>-1.2260336507108338E-2</v>
      </c>
      <c r="N6" s="43">
        <f t="shared" si="4"/>
        <v>-1.2260336507108338E-2</v>
      </c>
    </row>
    <row r="7" spans="1:21" x14ac:dyDescent="0.25">
      <c r="A7" s="42" t="s">
        <v>147</v>
      </c>
      <c r="B7" s="43">
        <f t="shared" ref="B7:N7" si="5">+IFERROR(B5/B$3,"nm")</f>
        <v>0.15813208718669325</v>
      </c>
      <c r="C7" s="43">
        <f t="shared" si="5"/>
        <v>0.16342352359772672</v>
      </c>
      <c r="D7" s="43">
        <f t="shared" si="5"/>
        <v>0.16451237263464338</v>
      </c>
      <c r="E7" s="43">
        <f t="shared" si="5"/>
        <v>0.14083578316894249</v>
      </c>
      <c r="F7" s="43">
        <f t="shared" si="5"/>
        <v>0.14200986783240024</v>
      </c>
      <c r="G7" s="43">
        <f t="shared" si="5"/>
        <v>9.8842338849824879E-2</v>
      </c>
      <c r="H7" s="43">
        <f t="shared" si="5"/>
        <v>0.17214513449189456</v>
      </c>
      <c r="I7" s="43">
        <f t="shared" si="5"/>
        <v>0.16212802397773496</v>
      </c>
      <c r="J7" s="43">
        <f t="shared" si="5"/>
        <v>0.15269380825958026</v>
      </c>
      <c r="K7" s="43">
        <f t="shared" si="5"/>
        <v>0.14380856873957437</v>
      </c>
      <c r="L7" s="43">
        <f t="shared" si="5"/>
        <v>0.13544036054014216</v>
      </c>
      <c r="M7" s="43">
        <f t="shared" si="5"/>
        <v>0.12755909765337667</v>
      </c>
      <c r="N7" s="43">
        <f t="shared" si="5"/>
        <v>0.12013644477357358</v>
      </c>
    </row>
    <row r="8" spans="1:21" x14ac:dyDescent="0.25">
      <c r="A8" s="10" t="s">
        <v>148</v>
      </c>
      <c r="B8" s="3">
        <f t="shared" ref="B8:I8" si="6">B38+B69+B101+B132+B163+B182+B201</f>
        <v>606</v>
      </c>
      <c r="C8" s="3">
        <f t="shared" si="6"/>
        <v>649</v>
      </c>
      <c r="D8" s="3">
        <f t="shared" si="6"/>
        <v>706</v>
      </c>
      <c r="E8" s="3">
        <f t="shared" si="6"/>
        <v>747</v>
      </c>
      <c r="F8" s="3">
        <f t="shared" si="6"/>
        <v>705</v>
      </c>
      <c r="G8" s="3">
        <f t="shared" si="6"/>
        <v>721</v>
      </c>
      <c r="H8" s="3">
        <f t="shared" si="6"/>
        <v>744</v>
      </c>
      <c r="I8" s="3">
        <f t="shared" si="6"/>
        <v>717</v>
      </c>
      <c r="J8" s="44">
        <f>+I8*(1+I9)</f>
        <v>690.97983870967744</v>
      </c>
      <c r="K8" s="44">
        <f>+J8*(1+J9)</f>
        <v>665.90395746618105</v>
      </c>
      <c r="L8" s="44">
        <f>+K8*(1+K9)</f>
        <v>641.73808804200507</v>
      </c>
      <c r="M8" s="44">
        <f>+L8*(1+L9)</f>
        <v>618.4492058146742</v>
      </c>
      <c r="N8" s="44">
        <f>+M8*(1+M9)</f>
        <v>596.00548463591576</v>
      </c>
      <c r="O8" t="s">
        <v>149</v>
      </c>
    </row>
    <row r="9" spans="1:21" x14ac:dyDescent="0.25">
      <c r="A9" s="42" t="s">
        <v>144</v>
      </c>
      <c r="B9" s="43" t="str">
        <f t="shared" ref="B9:N9" si="7">+IFERROR(B8/A8-1,"nm")</f>
        <v>nm</v>
      </c>
      <c r="C9" s="43">
        <f t="shared" si="7"/>
        <v>7.0957095709570872E-2</v>
      </c>
      <c r="D9" s="43">
        <f t="shared" si="7"/>
        <v>8.7827426810477727E-2</v>
      </c>
      <c r="E9" s="43">
        <f t="shared" si="7"/>
        <v>5.8073654390934815E-2</v>
      </c>
      <c r="F9" s="43">
        <f t="shared" si="7"/>
        <v>-5.6224899598393607E-2</v>
      </c>
      <c r="G9" s="43">
        <f t="shared" si="7"/>
        <v>2.2695035460992941E-2</v>
      </c>
      <c r="H9" s="43">
        <f t="shared" si="7"/>
        <v>3.1900138696255187E-2</v>
      </c>
      <c r="I9" s="43">
        <f t="shared" si="7"/>
        <v>-3.6290322580645129E-2</v>
      </c>
      <c r="J9" s="43">
        <f t="shared" si="7"/>
        <v>-3.6290322580645129E-2</v>
      </c>
      <c r="K9" s="43">
        <f t="shared" si="7"/>
        <v>-3.629032258064524E-2</v>
      </c>
      <c r="L9" s="43">
        <f t="shared" si="7"/>
        <v>-3.629032258064524E-2</v>
      </c>
      <c r="M9" s="43">
        <f t="shared" si="7"/>
        <v>-3.629032258064524E-2</v>
      </c>
      <c r="N9" s="43">
        <f t="shared" si="7"/>
        <v>-3.6290322580645351E-2</v>
      </c>
    </row>
    <row r="10" spans="1:21" x14ac:dyDescent="0.25">
      <c r="A10" s="42" t="s">
        <v>150</v>
      </c>
      <c r="B10" s="43">
        <f t="shared" ref="B10:N10" si="8">+IFERROR(B8/B$3,"nm")</f>
        <v>1.9803274402797295E-2</v>
      </c>
      <c r="C10" s="43">
        <f t="shared" si="8"/>
        <v>2.0045712873733631E-2</v>
      </c>
      <c r="D10" s="43">
        <f t="shared" si="8"/>
        <v>2.0553129548762736E-2</v>
      </c>
      <c r="E10" s="43">
        <f t="shared" si="8"/>
        <v>2.0523669533203285E-2</v>
      </c>
      <c r="F10" s="43">
        <f t="shared" si="8"/>
        <v>1.8022854513382928E-2</v>
      </c>
      <c r="G10" s="43">
        <f t="shared" si="8"/>
        <v>1.9276528620698875E-2</v>
      </c>
      <c r="H10" s="43">
        <f t="shared" si="8"/>
        <v>1.6704836319547355E-2</v>
      </c>
      <c r="I10" s="43">
        <f t="shared" si="8"/>
        <v>1.5350032113037893E-2</v>
      </c>
      <c r="J10" s="43">
        <f t="shared" si="8"/>
        <v>1.410510593244048E-2</v>
      </c>
      <c r="K10" s="43">
        <f t="shared" si="8"/>
        <v>1.2961146393718721E-2</v>
      </c>
      <c r="L10" s="43">
        <f t="shared" si="8"/>
        <v>1.1909964848476805E-2</v>
      </c>
      <c r="M10" s="43">
        <f t="shared" si="8"/>
        <v>1.0944036768282756E-2</v>
      </c>
      <c r="N10" s="43">
        <f t="shared" si="8"/>
        <v>1.0056447882870351E-2</v>
      </c>
    </row>
    <row r="11" spans="1:21" x14ac:dyDescent="0.25">
      <c r="A11" s="10" t="s">
        <v>151</v>
      </c>
      <c r="B11" s="3">
        <f t="shared" ref="B11:I11" si="9">B5-B8</f>
        <v>4233</v>
      </c>
      <c r="C11" s="3">
        <f t="shared" si="9"/>
        <v>4642</v>
      </c>
      <c r="D11" s="3">
        <f t="shared" si="9"/>
        <v>4945</v>
      </c>
      <c r="E11" s="3">
        <f t="shared" si="9"/>
        <v>4379</v>
      </c>
      <c r="F11" s="3">
        <f t="shared" si="9"/>
        <v>4850</v>
      </c>
      <c r="G11" s="3">
        <f t="shared" si="9"/>
        <v>2976</v>
      </c>
      <c r="H11" s="3">
        <f t="shared" si="9"/>
        <v>6923</v>
      </c>
      <c r="I11" s="3">
        <f t="shared" si="9"/>
        <v>6856</v>
      </c>
      <c r="J11" s="44">
        <f>+I11*(1+I12)</f>
        <v>6789.648418315759</v>
      </c>
      <c r="K11" s="44">
        <f>+J11*(1+J12)</f>
        <v>6723.9389796291844</v>
      </c>
      <c r="L11" s="44">
        <f>+K11*(1+K12)</f>
        <v>6658.865469353992</v>
      </c>
      <c r="M11" s="44">
        <f>+L11*(1+L12)</f>
        <v>6594.4217330479514</v>
      </c>
      <c r="N11" s="44">
        <f>+M11*(1+M12)</f>
        <v>6530.6016758308178</v>
      </c>
      <c r="O11" t="s">
        <v>152</v>
      </c>
    </row>
    <row r="12" spans="1:21" x14ac:dyDescent="0.25">
      <c r="A12" s="42" t="s">
        <v>144</v>
      </c>
      <c r="B12" s="43" t="str">
        <f t="shared" ref="B12:N12" si="10">+IFERROR(B11/A11-1,"nm")</f>
        <v>nm</v>
      </c>
      <c r="C12" s="43">
        <f t="shared" si="10"/>
        <v>9.6621781242617555E-2</v>
      </c>
      <c r="D12" s="43">
        <f t="shared" si="10"/>
        <v>6.5273588970271357E-2</v>
      </c>
      <c r="E12" s="43">
        <f t="shared" si="10"/>
        <v>-0.11445904954499497</v>
      </c>
      <c r="F12" s="43">
        <f t="shared" si="10"/>
        <v>0.10755880337976698</v>
      </c>
      <c r="G12" s="43">
        <f t="shared" si="10"/>
        <v>-0.38639175257731961</v>
      </c>
      <c r="H12" s="43">
        <f t="shared" si="10"/>
        <v>1.32627688172043</v>
      </c>
      <c r="I12" s="43">
        <f t="shared" si="10"/>
        <v>-9.67788530983682E-3</v>
      </c>
      <c r="J12" s="43">
        <f t="shared" si="10"/>
        <v>-9.67788530983682E-3</v>
      </c>
      <c r="K12" s="43">
        <f t="shared" si="10"/>
        <v>-9.67788530983682E-3</v>
      </c>
      <c r="L12" s="43">
        <f t="shared" si="10"/>
        <v>-9.67788530983682E-3</v>
      </c>
      <c r="M12" s="43">
        <f t="shared" si="10"/>
        <v>-9.67788530983682E-3</v>
      </c>
      <c r="N12" s="43">
        <f t="shared" si="10"/>
        <v>-9.67788530983682E-3</v>
      </c>
    </row>
    <row r="13" spans="1:21" x14ac:dyDescent="0.25">
      <c r="A13" s="42" t="s">
        <v>147</v>
      </c>
      <c r="B13" s="43">
        <f t="shared" ref="B13:N13" si="11">+IFERROR(B11/B$3,"nm")</f>
        <v>0.13832881278389594</v>
      </c>
      <c r="C13" s="43">
        <f t="shared" si="11"/>
        <v>0.14337781072399308</v>
      </c>
      <c r="D13" s="43">
        <f t="shared" si="11"/>
        <v>0.14395924308588065</v>
      </c>
      <c r="E13" s="43">
        <f t="shared" si="11"/>
        <v>0.12031211363573921</v>
      </c>
      <c r="F13" s="43">
        <f t="shared" si="11"/>
        <v>0.12398701331901731</v>
      </c>
      <c r="G13" s="43">
        <f t="shared" si="11"/>
        <v>7.9565810229126011E-2</v>
      </c>
      <c r="H13" s="43">
        <f t="shared" si="11"/>
        <v>0.1554402981723472</v>
      </c>
      <c r="I13" s="43">
        <f t="shared" si="11"/>
        <v>0.14677799186469706</v>
      </c>
      <c r="J13" s="43">
        <f t="shared" si="11"/>
        <v>0.1385984146269845</v>
      </c>
      <c r="K13" s="43">
        <f t="shared" si="11"/>
        <v>0.13087466515294224</v>
      </c>
      <c r="L13" s="43">
        <f t="shared" si="11"/>
        <v>0.12358134128007531</v>
      </c>
      <c r="M13" s="43">
        <f t="shared" si="11"/>
        <v>0.11669445644605803</v>
      </c>
      <c r="N13" s="43">
        <f t="shared" si="11"/>
        <v>0.11019136080081098</v>
      </c>
    </row>
    <row r="14" spans="1:21" x14ac:dyDescent="0.25">
      <c r="A14" s="10" t="s">
        <v>153</v>
      </c>
      <c r="B14" s="3">
        <f t="shared" ref="B14:I14" si="12">B45+B76+B108+B139+B170+B189+B207</f>
        <v>1003</v>
      </c>
      <c r="C14" s="3">
        <f t="shared" si="12"/>
        <v>1193</v>
      </c>
      <c r="D14" s="3">
        <f t="shared" si="12"/>
        <v>1201</v>
      </c>
      <c r="E14" s="3">
        <f t="shared" si="12"/>
        <v>1194</v>
      </c>
      <c r="F14" s="3">
        <f t="shared" si="12"/>
        <v>1075</v>
      </c>
      <c r="G14" s="3">
        <f t="shared" si="12"/>
        <v>1124</v>
      </c>
      <c r="H14" s="3">
        <f t="shared" si="12"/>
        <v>791</v>
      </c>
      <c r="I14" s="3">
        <f t="shared" si="12"/>
        <v>811</v>
      </c>
      <c r="J14" s="44">
        <f>+I14*(1+I15)</f>
        <v>831.50568900126427</v>
      </c>
      <c r="K14" s="44">
        <f>+J14*(1+J15)</f>
        <v>852.52985307209281</v>
      </c>
      <c r="L14" s="44">
        <f>+K14*(1+K15)</f>
        <v>874.0856015694909</v>
      </c>
      <c r="M14" s="44">
        <f>+L14*(1+L15)</f>
        <v>896.18637531334662</v>
      </c>
      <c r="N14" s="44">
        <f>+M14*(1+M15)</f>
        <v>918.84595496728718</v>
      </c>
      <c r="O14" t="s">
        <v>154</v>
      </c>
    </row>
    <row r="15" spans="1:21" x14ac:dyDescent="0.25">
      <c r="A15" s="42" t="s">
        <v>144</v>
      </c>
      <c r="B15" s="43" t="str">
        <f t="shared" ref="B15:N15" si="13">+IFERROR(B14/A14-1,"nm")</f>
        <v>nm</v>
      </c>
      <c r="C15" s="43">
        <f t="shared" si="13"/>
        <v>0.189431704885344</v>
      </c>
      <c r="D15" s="43">
        <f t="shared" si="13"/>
        <v>6.7057837384745245E-3</v>
      </c>
      <c r="E15" s="43">
        <f t="shared" si="13"/>
        <v>-5.828476269775229E-3</v>
      </c>
      <c r="F15" s="43">
        <f t="shared" si="13"/>
        <v>-9.9664991624790589E-2</v>
      </c>
      <c r="G15" s="43">
        <f t="shared" si="13"/>
        <v>4.5581395348837317E-2</v>
      </c>
      <c r="H15" s="43">
        <f t="shared" si="13"/>
        <v>-0.2962633451957295</v>
      </c>
      <c r="I15" s="43">
        <f t="shared" si="13"/>
        <v>2.5284450063211228E-2</v>
      </c>
      <c r="J15" s="43">
        <f t="shared" si="13"/>
        <v>2.5284450063211228E-2</v>
      </c>
      <c r="K15" s="43">
        <f t="shared" si="13"/>
        <v>2.5284450063211228E-2</v>
      </c>
      <c r="L15" s="43">
        <f t="shared" si="13"/>
        <v>2.5284450063211228E-2</v>
      </c>
      <c r="M15" s="43">
        <f t="shared" si="13"/>
        <v>2.5284450063211228E-2</v>
      </c>
      <c r="N15" s="43">
        <f t="shared" si="13"/>
        <v>2.5284450063211228E-2</v>
      </c>
    </row>
    <row r="16" spans="1:21" x14ac:dyDescent="0.25">
      <c r="A16" s="42" t="s">
        <v>150</v>
      </c>
      <c r="B16" s="43">
        <f t="shared" ref="B16:N16" si="14">+IFERROR(B14/B$3,"nm")</f>
        <v>3.2776706643573739E-2</v>
      </c>
      <c r="C16" s="43">
        <f t="shared" si="14"/>
        <v>3.6848282678527307E-2</v>
      </c>
      <c r="D16" s="43">
        <f t="shared" si="14"/>
        <v>3.4963609898107713E-2</v>
      </c>
      <c r="E16" s="43">
        <f t="shared" si="14"/>
        <v>3.2804901502871117E-2</v>
      </c>
      <c r="F16" s="43">
        <f t="shared" si="14"/>
        <v>2.7481657591328579E-2</v>
      </c>
      <c r="G16" s="43">
        <f t="shared" si="14"/>
        <v>3.0051065422559687E-2</v>
      </c>
      <c r="H16" s="43">
        <f t="shared" si="14"/>
        <v>1.7760114958013381E-2</v>
      </c>
      <c r="I16" s="43">
        <f t="shared" si="14"/>
        <v>1.7362449154356668E-2</v>
      </c>
      <c r="J16" s="43">
        <f t="shared" si="14"/>
        <v>1.6973687464877808E-2</v>
      </c>
      <c r="K16" s="43">
        <f t="shared" si="14"/>
        <v>1.6593630518022692E-2</v>
      </c>
      <c r="L16" s="43">
        <f t="shared" si="14"/>
        <v>1.6222083406355225E-2</v>
      </c>
      <c r="M16" s="43">
        <f t="shared" si="14"/>
        <v>1.5858855586601512E-2</v>
      </c>
      <c r="N16" s="43">
        <f t="shared" si="14"/>
        <v>1.5503760781932127E-2</v>
      </c>
      <c r="U16" s="45">
        <f>J48/J21</f>
        <v>3.4817196098730456E-2</v>
      </c>
    </row>
    <row r="17" spans="1:15" x14ac:dyDescent="0.25">
      <c r="A17" s="10" t="s">
        <v>155</v>
      </c>
      <c r="B17" s="3">
        <f t="shared" ref="B17:I17" si="15">B48+B79+B111+B142+B173+B192+B210</f>
        <v>3011</v>
      </c>
      <c r="C17" s="3">
        <f t="shared" si="15"/>
        <v>3520</v>
      </c>
      <c r="D17" s="3">
        <f t="shared" si="15"/>
        <v>3989</v>
      </c>
      <c r="E17" s="3">
        <f t="shared" si="15"/>
        <v>4454</v>
      </c>
      <c r="F17" s="3">
        <f t="shared" si="15"/>
        <v>4744</v>
      </c>
      <c r="G17" s="3">
        <f t="shared" si="15"/>
        <v>4866</v>
      </c>
      <c r="H17" s="3">
        <f t="shared" si="15"/>
        <v>4904</v>
      </c>
      <c r="I17" s="3">
        <f t="shared" si="15"/>
        <v>4791</v>
      </c>
      <c r="J17" s="44">
        <f>+I17*(1+I18)</f>
        <v>4680.6037928221858</v>
      </c>
      <c r="K17" s="44">
        <f>+J17*(1+J18)</f>
        <v>4572.7513807934529</v>
      </c>
      <c r="L17" s="44">
        <f>+K17*(1+K18)</f>
        <v>4467.3841487319396</v>
      </c>
      <c r="M17" s="44">
        <f>+L17*(1+L18)</f>
        <v>4364.4448320910933</v>
      </c>
      <c r="N17" s="44">
        <f>+M17*(1+M18)</f>
        <v>4263.8774858377701</v>
      </c>
      <c r="O17" t="s">
        <v>156</v>
      </c>
    </row>
    <row r="18" spans="1:15" x14ac:dyDescent="0.25">
      <c r="A18" s="42" t="s">
        <v>144</v>
      </c>
      <c r="B18" s="43" t="str">
        <f t="shared" ref="B18:N18" si="16">+IFERROR(B17/A17-1,"nm")</f>
        <v>nm</v>
      </c>
      <c r="C18" s="43">
        <f t="shared" si="16"/>
        <v>0.16904682829624718</v>
      </c>
      <c r="D18" s="43">
        <f t="shared" si="16"/>
        <v>0.13323863636363642</v>
      </c>
      <c r="E18" s="43">
        <f t="shared" si="16"/>
        <v>0.11657056906492858</v>
      </c>
      <c r="F18" s="43">
        <f t="shared" si="16"/>
        <v>6.5110013471037176E-2</v>
      </c>
      <c r="G18" s="43">
        <f t="shared" si="16"/>
        <v>2.5716694772343951E-2</v>
      </c>
      <c r="H18" s="43">
        <f t="shared" si="16"/>
        <v>7.8092889436909285E-3</v>
      </c>
      <c r="I18" s="43">
        <f t="shared" si="16"/>
        <v>-2.3042414355628038E-2</v>
      </c>
      <c r="J18" s="43">
        <f t="shared" si="16"/>
        <v>-2.3042414355628038E-2</v>
      </c>
      <c r="K18" s="43">
        <f t="shared" si="16"/>
        <v>-2.3042414355628038E-2</v>
      </c>
      <c r="L18" s="43">
        <f t="shared" si="16"/>
        <v>-2.3042414355628149E-2</v>
      </c>
      <c r="M18" s="43">
        <f t="shared" si="16"/>
        <v>-2.3042414355628149E-2</v>
      </c>
      <c r="N18" s="43">
        <f t="shared" si="16"/>
        <v>-2.304241435562826E-2</v>
      </c>
    </row>
    <row r="19" spans="1:15" x14ac:dyDescent="0.25">
      <c r="A19" s="42" t="s">
        <v>150</v>
      </c>
      <c r="B19" s="43">
        <f t="shared" ref="B19:N19" si="17">+IFERROR(B17/B$3,"nm")</f>
        <v>9.8395477271984569E-2</v>
      </c>
      <c r="C19" s="43">
        <f t="shared" si="17"/>
        <v>0.10872251050160613</v>
      </c>
      <c r="D19" s="43">
        <f t="shared" si="17"/>
        <v>0.11612809315866085</v>
      </c>
      <c r="E19" s="43">
        <f t="shared" si="17"/>
        <v>0.12237272302662307</v>
      </c>
      <c r="F19" s="43">
        <f t="shared" si="17"/>
        <v>0.1212771940588491</v>
      </c>
      <c r="G19" s="43">
        <f t="shared" si="17"/>
        <v>0.13009651632222013</v>
      </c>
      <c r="H19" s="43">
        <f t="shared" si="17"/>
        <v>0.11010822219228523</v>
      </c>
      <c r="I19" s="43">
        <f t="shared" si="17"/>
        <v>0.10256904303147078</v>
      </c>
      <c r="J19" s="43">
        <f t="shared" si="17"/>
        <v>9.5546076205095781E-2</v>
      </c>
      <c r="K19" s="43">
        <f t="shared" si="17"/>
        <v>8.9003976330255377E-2</v>
      </c>
      <c r="L19" s="43">
        <f t="shared" si="17"/>
        <v>8.29098181446217E-2</v>
      </c>
      <c r="M19" s="43">
        <f t="shared" si="17"/>
        <v>7.7232930799267352E-2</v>
      </c>
      <c r="N19" s="43">
        <f t="shared" si="17"/>
        <v>7.1944743497563191E-2</v>
      </c>
    </row>
    <row r="20" spans="1:15" x14ac:dyDescent="0.25">
      <c r="A20" s="46" t="str">
        <f>+Historicals!A107</f>
        <v>North America</v>
      </c>
      <c r="B20" s="46"/>
      <c r="C20" s="46"/>
      <c r="D20" s="46"/>
      <c r="E20" s="46"/>
      <c r="F20" s="46"/>
      <c r="G20" s="46"/>
      <c r="H20" s="46"/>
      <c r="I20" s="46"/>
      <c r="J20" s="39"/>
      <c r="K20" s="39"/>
      <c r="L20" s="39"/>
      <c r="M20" s="39"/>
      <c r="N20" s="39"/>
    </row>
    <row r="21" spans="1:15" x14ac:dyDescent="0.25">
      <c r="A21" s="10" t="s">
        <v>157</v>
      </c>
      <c r="B21" s="10">
        <f>+Historicals!B107</f>
        <v>13740</v>
      </c>
      <c r="C21" s="10">
        <f>+Historicals!C107</f>
        <v>14764</v>
      </c>
      <c r="D21" s="10">
        <f>+Historicals!D107</f>
        <v>15216</v>
      </c>
      <c r="E21" s="10">
        <f>+Historicals!E107</f>
        <v>14855</v>
      </c>
      <c r="F21" s="10">
        <f>+Historicals!F107</f>
        <v>15902</v>
      </c>
      <c r="G21" s="10">
        <f>+Historicals!G107</f>
        <v>14484</v>
      </c>
      <c r="H21" s="10">
        <f>+Historicals!H107</f>
        <v>17179</v>
      </c>
      <c r="I21" s="10">
        <f>+Historicals!I107</f>
        <v>18353</v>
      </c>
      <c r="J21" s="10">
        <f>+I21*(1.05)</f>
        <v>19270.650000000001</v>
      </c>
      <c r="K21" s="10">
        <f>+J21*(1.05)</f>
        <v>20234.182500000003</v>
      </c>
      <c r="L21" s="10">
        <f>+K21*(1.05)</f>
        <v>21245.891625000004</v>
      </c>
      <c r="M21" s="10">
        <f>+L21*(1.05)</f>
        <v>22308.186206250004</v>
      </c>
      <c r="N21" s="10">
        <f>+M21*(1.05)</f>
        <v>23423.595516562506</v>
      </c>
    </row>
    <row r="22" spans="1:15" x14ac:dyDescent="0.25">
      <c r="A22" s="47" t="s">
        <v>144</v>
      </c>
      <c r="B22" s="43" t="str">
        <f t="shared" ref="B22:N22" si="18">+IFERROR(B21/A21-1,"nm")</f>
        <v>nm</v>
      </c>
      <c r="C22" s="43">
        <f t="shared" si="18"/>
        <v>7.4526928675400228E-2</v>
      </c>
      <c r="D22" s="43">
        <f t="shared" si="18"/>
        <v>3.0615009482525046E-2</v>
      </c>
      <c r="E22" s="43">
        <f t="shared" si="18"/>
        <v>-2.372502628811779E-2</v>
      </c>
      <c r="F22" s="43">
        <f t="shared" si="18"/>
        <v>7.0481319421070276E-2</v>
      </c>
      <c r="G22" s="43">
        <f t="shared" si="18"/>
        <v>-8.9171173437303519E-2</v>
      </c>
      <c r="H22" s="43">
        <f t="shared" si="18"/>
        <v>0.18606738470035911</v>
      </c>
      <c r="I22" s="43">
        <f t="shared" si="18"/>
        <v>6.8339251411607238E-2</v>
      </c>
      <c r="J22" s="43">
        <f t="shared" si="18"/>
        <v>5.0000000000000044E-2</v>
      </c>
      <c r="K22" s="43">
        <f t="shared" si="18"/>
        <v>5.0000000000000044E-2</v>
      </c>
      <c r="L22" s="43">
        <f t="shared" si="18"/>
        <v>5.0000000000000044E-2</v>
      </c>
      <c r="M22" s="43">
        <f t="shared" si="18"/>
        <v>5.0000000000000044E-2</v>
      </c>
      <c r="N22" s="43">
        <f t="shared" si="18"/>
        <v>5.0000000000000044E-2</v>
      </c>
    </row>
    <row r="23" spans="1:15" x14ac:dyDescent="0.25">
      <c r="A23" s="48" t="s">
        <v>116</v>
      </c>
      <c r="B23" s="7">
        <f>+Historicals!B108</f>
        <v>8506</v>
      </c>
      <c r="C23" s="7">
        <f>+Historicals!C108</f>
        <v>9299</v>
      </c>
      <c r="D23" s="7">
        <f>+Historicals!D108</f>
        <v>9684</v>
      </c>
      <c r="E23" s="7">
        <f>+Historicals!E108</f>
        <v>9322</v>
      </c>
      <c r="F23" s="7">
        <f>+Historicals!F108</f>
        <v>10045</v>
      </c>
      <c r="G23" s="7">
        <f>+Historicals!G108</f>
        <v>9329</v>
      </c>
      <c r="H23" s="7">
        <f>+Historicals!H108</f>
        <v>11644</v>
      </c>
      <c r="I23" s="7">
        <f>+Historicals!I108</f>
        <v>12228</v>
      </c>
      <c r="J23" s="7">
        <f>+I23*(1+I24)</f>
        <v>12841.290278254894</v>
      </c>
      <c r="K23" s="7">
        <f>+J23*(1+J24)</f>
        <v>14510.658014428029</v>
      </c>
      <c r="L23" s="7">
        <f>+K23*(1+K24)</f>
        <v>16397.04355630367</v>
      </c>
      <c r="M23" s="7">
        <f>+L23*(1+L24)</f>
        <v>18528.659218623146</v>
      </c>
      <c r="N23" s="7">
        <f>+M23*(1+M24)</f>
        <v>20937.384917044154</v>
      </c>
    </row>
    <row r="24" spans="1:15" x14ac:dyDescent="0.25">
      <c r="A24" s="47" t="s">
        <v>144</v>
      </c>
      <c r="B24" s="43" t="str">
        <f t="shared" ref="B24:I24" si="19">+IFERROR(B23/A23-1,"nm")</f>
        <v>nm</v>
      </c>
      <c r="C24" s="43">
        <f t="shared" si="19"/>
        <v>9.3228309428638578E-2</v>
      </c>
      <c r="D24" s="43">
        <f t="shared" si="19"/>
        <v>4.1402301322722934E-2</v>
      </c>
      <c r="E24" s="43">
        <f t="shared" si="19"/>
        <v>-3.7381247418422192E-2</v>
      </c>
      <c r="F24" s="43">
        <f t="shared" si="19"/>
        <v>7.755846384895948E-2</v>
      </c>
      <c r="G24" s="43">
        <f t="shared" si="19"/>
        <v>-7.1279243404678949E-2</v>
      </c>
      <c r="H24" s="43">
        <f t="shared" si="19"/>
        <v>0.24815092721620746</v>
      </c>
      <c r="I24" s="43">
        <f t="shared" si="19"/>
        <v>5.0154586052902683E-2</v>
      </c>
      <c r="J24" s="43">
        <f>+J25+J26</f>
        <v>0.13</v>
      </c>
      <c r="K24" s="43">
        <f>+K25+K26</f>
        <v>0.13</v>
      </c>
      <c r="L24" s="43">
        <f>+L25+L26</f>
        <v>0.13</v>
      </c>
      <c r="M24" s="43">
        <f>+M25+M26</f>
        <v>0.13</v>
      </c>
      <c r="N24" s="43">
        <f>+N25+N26</f>
        <v>0.13</v>
      </c>
    </row>
    <row r="25" spans="1:15" x14ac:dyDescent="0.25">
      <c r="A25" s="47" t="s">
        <v>158</v>
      </c>
      <c r="B25" s="43">
        <f>+Historicals!B180</f>
        <v>0.13488992661774515</v>
      </c>
      <c r="C25" s="43">
        <f>+Historicals!C180</f>
        <v>9.3228309428638606E-2</v>
      </c>
      <c r="D25" s="43">
        <f>+Historicals!D180</f>
        <v>4.1402301322722872E-2</v>
      </c>
      <c r="E25" s="43">
        <f>+Historicals!E180</f>
        <v>-3.7381247418422137E-2</v>
      </c>
      <c r="F25" s="43">
        <f>+Historicals!F180</f>
        <v>7.7558463848959452E-2</v>
      </c>
      <c r="G25" s="43">
        <f>+Historicals!G180</f>
        <v>-7.1279243404678949E-2</v>
      </c>
      <c r="H25" s="43">
        <f>+Historicals!H180</f>
        <v>0.24815092721620752</v>
      </c>
      <c r="I25" s="43">
        <f>+Historicals!I180</f>
        <v>5.015458605290278E-2</v>
      </c>
      <c r="J25" s="49">
        <v>0.13</v>
      </c>
      <c r="K25" s="49">
        <f t="shared" ref="K25:N26" si="20">+J25</f>
        <v>0.13</v>
      </c>
      <c r="L25" s="49">
        <f t="shared" si="20"/>
        <v>0.13</v>
      </c>
      <c r="M25" s="49">
        <f t="shared" si="20"/>
        <v>0.13</v>
      </c>
      <c r="N25" s="49">
        <f t="shared" si="20"/>
        <v>0.13</v>
      </c>
      <c r="O25" t="s">
        <v>159</v>
      </c>
    </row>
    <row r="26" spans="1:15" x14ac:dyDescent="0.25">
      <c r="A26" s="47" t="s">
        <v>160</v>
      </c>
      <c r="B26" s="43" t="str">
        <f t="shared" ref="B26:I26" si="21">+IFERROR(B24-B25,"nm")</f>
        <v>nm</v>
      </c>
      <c r="C26" s="43">
        <f t="shared" si="21"/>
        <v>-2.7755575615628914E-17</v>
      </c>
      <c r="D26" s="43">
        <f t="shared" si="21"/>
        <v>6.2450045135165055E-17</v>
      </c>
      <c r="E26" s="43">
        <f t="shared" si="21"/>
        <v>-5.5511151231257827E-17</v>
      </c>
      <c r="F26" s="43">
        <f t="shared" si="21"/>
        <v>2.7755575615628914E-17</v>
      </c>
      <c r="G26" s="43">
        <f t="shared" si="21"/>
        <v>0</v>
      </c>
      <c r="H26" s="43">
        <f t="shared" si="21"/>
        <v>-5.5511151231257827E-17</v>
      </c>
      <c r="I26" s="43">
        <f t="shared" si="21"/>
        <v>-9.7144514654701197E-17</v>
      </c>
      <c r="J26" s="49">
        <v>0</v>
      </c>
      <c r="K26" s="49">
        <f t="shared" si="20"/>
        <v>0</v>
      </c>
      <c r="L26" s="49">
        <f t="shared" si="20"/>
        <v>0</v>
      </c>
      <c r="M26" s="49">
        <f t="shared" si="20"/>
        <v>0</v>
      </c>
      <c r="N26" s="49">
        <f t="shared" si="20"/>
        <v>0</v>
      </c>
    </row>
    <row r="27" spans="1:15" x14ac:dyDescent="0.25">
      <c r="A27" s="48" t="s">
        <v>117</v>
      </c>
      <c r="B27" s="7">
        <f>+Historicals!B109</f>
        <v>4410</v>
      </c>
      <c r="C27" s="7">
        <f>+Historicals!C109</f>
        <v>4746</v>
      </c>
      <c r="D27" s="7">
        <f>+Historicals!D109</f>
        <v>4886</v>
      </c>
      <c r="E27" s="7">
        <f>+Historicals!E109</f>
        <v>4938</v>
      </c>
      <c r="F27" s="7">
        <f>+Historicals!F109</f>
        <v>5260</v>
      </c>
      <c r="G27" s="7">
        <f>+Historicals!G109</f>
        <v>4639</v>
      </c>
      <c r="H27" s="7">
        <f>+Historicals!H109</f>
        <v>5028</v>
      </c>
      <c r="I27" s="7">
        <f>+Historicals!I109</f>
        <v>5492</v>
      </c>
      <c r="J27" s="50">
        <f>+I27*(1+J28)</f>
        <v>5492</v>
      </c>
      <c r="K27" s="7">
        <f>+J27*(1+K28)</f>
        <v>5492</v>
      </c>
      <c r="L27" s="7">
        <f>+K27*(1+L28)</f>
        <v>5492</v>
      </c>
      <c r="M27" s="7">
        <f>+L27*(1+M28)</f>
        <v>5492</v>
      </c>
      <c r="N27" s="7">
        <f>+M27*(1+N28)</f>
        <v>5492</v>
      </c>
    </row>
    <row r="28" spans="1:15" x14ac:dyDescent="0.25">
      <c r="A28" s="47" t="s">
        <v>144</v>
      </c>
      <c r="B28" s="43" t="str">
        <f t="shared" ref="B28:I28" si="22">+IFERROR(B27/A27-1,"nm")</f>
        <v>nm</v>
      </c>
      <c r="C28" s="43">
        <f t="shared" si="22"/>
        <v>7.6190476190476142E-2</v>
      </c>
      <c r="D28" s="43">
        <f t="shared" si="22"/>
        <v>2.9498525073746285E-2</v>
      </c>
      <c r="E28" s="43">
        <f t="shared" si="22"/>
        <v>1.0642652476463343E-2</v>
      </c>
      <c r="F28" s="43">
        <f t="shared" si="22"/>
        <v>6.5208586472256025E-2</v>
      </c>
      <c r="G28" s="43">
        <f t="shared" si="22"/>
        <v>-0.11806083650190113</v>
      </c>
      <c r="H28" s="43">
        <f t="shared" si="22"/>
        <v>8.3854278939426541E-2</v>
      </c>
      <c r="I28" s="43">
        <f t="shared" si="22"/>
        <v>9.2283214001591007E-2</v>
      </c>
      <c r="J28" s="43">
        <f>+J29+J30</f>
        <v>0</v>
      </c>
      <c r="K28" s="43">
        <f>+K29+K30</f>
        <v>0</v>
      </c>
      <c r="L28" s="43">
        <f>+L29+L30</f>
        <v>0</v>
      </c>
      <c r="M28" s="43">
        <f>+M29+M30</f>
        <v>0</v>
      </c>
      <c r="N28" s="43">
        <f>+N29+N30</f>
        <v>0</v>
      </c>
    </row>
    <row r="29" spans="1:15" x14ac:dyDescent="0.25">
      <c r="A29" s="47" t="s">
        <v>158</v>
      </c>
      <c r="B29" s="43">
        <f>+Historicals!B184</f>
        <v>0.15780403741999016</v>
      </c>
      <c r="C29" s="43">
        <f>+Historicals!C184</f>
        <v>7.2294280246651077E-2</v>
      </c>
      <c r="D29" s="43">
        <f>+Historicals!D184</f>
        <v>2.9545905215149711E-2</v>
      </c>
      <c r="E29" s="43">
        <f>+Historicals!E184</f>
        <v>0.13154853620955315</v>
      </c>
      <c r="F29" s="43">
        <f>+Historicals!F184</f>
        <v>7.114893617021277E-2</v>
      </c>
      <c r="G29" s="43">
        <f>+Historicals!G184</f>
        <v>-6.3721595423486418E-2</v>
      </c>
      <c r="H29" s="43">
        <f>+Historicals!H184</f>
        <v>0.18295994568906992</v>
      </c>
      <c r="I29" s="43">
        <f>+Historicals!I184</f>
        <v>5.9971305595408898E-2</v>
      </c>
      <c r="J29" s="49">
        <v>0</v>
      </c>
      <c r="K29" s="49">
        <f t="shared" ref="K29:N30" si="23">+J29</f>
        <v>0</v>
      </c>
      <c r="L29" s="49">
        <f t="shared" si="23"/>
        <v>0</v>
      </c>
      <c r="M29" s="49">
        <f t="shared" si="23"/>
        <v>0</v>
      </c>
      <c r="N29" s="49">
        <f t="shared" si="23"/>
        <v>0</v>
      </c>
    </row>
    <row r="30" spans="1:15" x14ac:dyDescent="0.25">
      <c r="A30" s="47" t="s">
        <v>160</v>
      </c>
      <c r="B30" s="43" t="str">
        <f t="shared" ref="B30:I30" si="24">+IFERROR(B28-B29,"nm")</f>
        <v>nm</v>
      </c>
      <c r="C30" s="43">
        <f t="shared" si="24"/>
        <v>3.8961959438250648E-3</v>
      </c>
      <c r="D30" s="43">
        <f t="shared" si="24"/>
        <v>-4.7380141403426806E-5</v>
      </c>
      <c r="E30" s="43">
        <f t="shared" si="24"/>
        <v>-0.1209058837330898</v>
      </c>
      <c r="F30" s="43">
        <f t="shared" si="24"/>
        <v>-5.9403496979567455E-3</v>
      </c>
      <c r="G30" s="43">
        <f t="shared" si="24"/>
        <v>-5.4339241078414716E-2</v>
      </c>
      <c r="H30" s="43">
        <f t="shared" si="24"/>
        <v>-9.9105666749643384E-2</v>
      </c>
      <c r="I30" s="43">
        <f t="shared" si="24"/>
        <v>3.2311908406182109E-2</v>
      </c>
      <c r="J30" s="49">
        <v>0</v>
      </c>
      <c r="K30" s="49">
        <f t="shared" si="23"/>
        <v>0</v>
      </c>
      <c r="L30" s="49">
        <f t="shared" si="23"/>
        <v>0</v>
      </c>
      <c r="M30" s="49">
        <f t="shared" si="23"/>
        <v>0</v>
      </c>
      <c r="N30" s="49">
        <f t="shared" si="23"/>
        <v>0</v>
      </c>
    </row>
    <row r="31" spans="1:15" x14ac:dyDescent="0.25">
      <c r="A31" s="48" t="s">
        <v>118</v>
      </c>
      <c r="B31" s="7">
        <f>+Historicals!B110</f>
        <v>824</v>
      </c>
      <c r="C31" s="7">
        <f>+Historicals!C110</f>
        <v>719</v>
      </c>
      <c r="D31" s="7">
        <f>+Historicals!D110</f>
        <v>646</v>
      </c>
      <c r="E31" s="7">
        <f>+Historicals!E110</f>
        <v>595</v>
      </c>
      <c r="F31" s="7">
        <f>+Historicals!F110</f>
        <v>597</v>
      </c>
      <c r="G31" s="7">
        <f>+Historicals!G110</f>
        <v>516</v>
      </c>
      <c r="H31" s="7">
        <f>+Historicals!H110</f>
        <v>507</v>
      </c>
      <c r="I31" s="7">
        <f>+Historicals!I110</f>
        <v>633</v>
      </c>
      <c r="J31" s="7">
        <f>+I31*(1+J32)</f>
        <v>633</v>
      </c>
      <c r="K31" s="7">
        <f>+J31*(1+K32)</f>
        <v>633</v>
      </c>
      <c r="L31" s="7">
        <f>+K31*(1+L32)</f>
        <v>633</v>
      </c>
      <c r="M31" s="7">
        <f>+L31*(1+M32)</f>
        <v>633</v>
      </c>
      <c r="N31" s="7">
        <f>+M31*(1+N32)</f>
        <v>633</v>
      </c>
    </row>
    <row r="32" spans="1:15" x14ac:dyDescent="0.25">
      <c r="A32" s="47" t="s">
        <v>144</v>
      </c>
      <c r="B32" s="43" t="str">
        <f t="shared" ref="B32:I32" si="25">+IFERROR(B31/A31-1,"nm")</f>
        <v>nm</v>
      </c>
      <c r="C32" s="43">
        <f t="shared" si="25"/>
        <v>-0.12742718446601942</v>
      </c>
      <c r="D32" s="43">
        <f t="shared" si="25"/>
        <v>-0.10152990264255912</v>
      </c>
      <c r="E32" s="43">
        <f t="shared" si="25"/>
        <v>-7.8947368421052655E-2</v>
      </c>
      <c r="F32" s="43">
        <f t="shared" si="25"/>
        <v>3.3613445378151141E-3</v>
      </c>
      <c r="G32" s="43">
        <f t="shared" si="25"/>
        <v>-0.13567839195979903</v>
      </c>
      <c r="H32" s="43">
        <f t="shared" si="25"/>
        <v>-1.744186046511631E-2</v>
      </c>
      <c r="I32" s="43">
        <f t="shared" si="25"/>
        <v>0.24852071005917153</v>
      </c>
      <c r="J32" s="43">
        <f>+J33+J34</f>
        <v>0</v>
      </c>
      <c r="K32" s="43">
        <f>+K33+K34</f>
        <v>0</v>
      </c>
      <c r="L32" s="43">
        <f>+L33+L34</f>
        <v>0</v>
      </c>
      <c r="M32" s="43">
        <f>+M33+M34</f>
        <v>0</v>
      </c>
      <c r="N32" s="43">
        <f>+N33+N34</f>
        <v>0</v>
      </c>
    </row>
    <row r="33" spans="1:15" x14ac:dyDescent="0.25">
      <c r="A33" s="47" t="s">
        <v>158</v>
      </c>
      <c r="B33" s="43">
        <f>+Historicals!B182</f>
        <v>-4.9596309111880045E-2</v>
      </c>
      <c r="C33" s="43">
        <f>+Historicals!C182</f>
        <v>-0.12742718446601942</v>
      </c>
      <c r="D33" s="43">
        <f>+Historicals!D182</f>
        <v>-0.10152990264255911</v>
      </c>
      <c r="E33" s="43">
        <f>+Historicals!E182</f>
        <v>-7.8947368421052627E-2</v>
      </c>
      <c r="F33" s="43">
        <f>+Historicals!F182</f>
        <v>3.3613445378151263E-3</v>
      </c>
      <c r="G33" s="43">
        <f>+Historicals!G182</f>
        <v>-0.135678391959799</v>
      </c>
      <c r="H33" s="43">
        <f>+Historicals!H182</f>
        <v>-1.7441860465116279E-2</v>
      </c>
      <c r="I33" s="43">
        <f>+Historicals!I182</f>
        <v>0.24852071005917159</v>
      </c>
      <c r="J33" s="49">
        <v>0</v>
      </c>
      <c r="K33" s="49">
        <f t="shared" ref="K33:N34" si="26">+J33</f>
        <v>0</v>
      </c>
      <c r="L33" s="49">
        <f t="shared" si="26"/>
        <v>0</v>
      </c>
      <c r="M33" s="49">
        <f t="shared" si="26"/>
        <v>0</v>
      </c>
      <c r="N33" s="49">
        <f t="shared" si="26"/>
        <v>0</v>
      </c>
      <c r="O33" t="s">
        <v>161</v>
      </c>
    </row>
    <row r="34" spans="1:15" x14ac:dyDescent="0.25">
      <c r="A34" s="47" t="s">
        <v>160</v>
      </c>
      <c r="B34" s="43" t="str">
        <f t="shared" ref="B34:I34" si="27">+IFERROR(B32-B33,"nm")</f>
        <v>nm</v>
      </c>
      <c r="C34" s="43">
        <f t="shared" si="27"/>
        <v>0</v>
      </c>
      <c r="D34" s="43">
        <f t="shared" si="27"/>
        <v>-1.3877787807814457E-17</v>
      </c>
      <c r="E34" s="43">
        <f t="shared" si="27"/>
        <v>-2.7755575615628914E-17</v>
      </c>
      <c r="F34" s="43">
        <f t="shared" si="27"/>
        <v>-1.214306433183765E-17</v>
      </c>
      <c r="G34" s="43">
        <f t="shared" si="27"/>
        <v>-2.7755575615628914E-17</v>
      </c>
      <c r="H34" s="43">
        <f t="shared" si="27"/>
        <v>-3.1225022567582528E-17</v>
      </c>
      <c r="I34" s="43">
        <f t="shared" si="27"/>
        <v>-5.5511151231257827E-17</v>
      </c>
      <c r="J34" s="49">
        <v>0</v>
      </c>
      <c r="K34" s="49">
        <f t="shared" si="26"/>
        <v>0</v>
      </c>
      <c r="L34" s="49">
        <f t="shared" si="26"/>
        <v>0</v>
      </c>
      <c r="M34" s="49">
        <f t="shared" si="26"/>
        <v>0</v>
      </c>
      <c r="N34" s="49">
        <f t="shared" si="26"/>
        <v>0</v>
      </c>
    </row>
    <row r="35" spans="1:15" x14ac:dyDescent="0.25">
      <c r="A35" s="10" t="s">
        <v>145</v>
      </c>
      <c r="B35" s="51">
        <f t="shared" ref="B35:I35" si="28">+B42+B38</f>
        <v>3766</v>
      </c>
      <c r="C35" s="51">
        <f t="shared" si="28"/>
        <v>3896</v>
      </c>
      <c r="D35" s="51">
        <f t="shared" si="28"/>
        <v>4015</v>
      </c>
      <c r="E35" s="51">
        <f t="shared" si="28"/>
        <v>3760</v>
      </c>
      <c r="F35" s="51">
        <f t="shared" si="28"/>
        <v>4074</v>
      </c>
      <c r="G35" s="51">
        <f t="shared" si="28"/>
        <v>3047</v>
      </c>
      <c r="H35" s="51">
        <f t="shared" si="28"/>
        <v>5219</v>
      </c>
      <c r="I35" s="51">
        <f t="shared" si="28"/>
        <v>5238</v>
      </c>
      <c r="J35" s="51">
        <f>+J21*J37</f>
        <v>5499.9</v>
      </c>
      <c r="K35" s="51">
        <f>+K21*K37</f>
        <v>5774.8950000000004</v>
      </c>
      <c r="L35" s="51">
        <f>+L21*L37</f>
        <v>6063.6397500000003</v>
      </c>
      <c r="M35" s="51">
        <f>+M21*M37</f>
        <v>6366.8217375000004</v>
      </c>
      <c r="N35" s="51">
        <f>+N21*N37</f>
        <v>6685.162824375001</v>
      </c>
    </row>
    <row r="36" spans="1:15" x14ac:dyDescent="0.25">
      <c r="A36" s="42" t="s">
        <v>144</v>
      </c>
      <c r="B36" s="43" t="str">
        <f t="shared" ref="B36:N36" si="29">+IFERROR(B35/A35-1,"nm")</f>
        <v>nm</v>
      </c>
      <c r="C36" s="43">
        <f t="shared" si="29"/>
        <v>3.4519383961763239E-2</v>
      </c>
      <c r="D36" s="43">
        <f t="shared" si="29"/>
        <v>3.0544147843942548E-2</v>
      </c>
      <c r="E36" s="43">
        <f t="shared" si="29"/>
        <v>-6.3511830635118338E-2</v>
      </c>
      <c r="F36" s="43">
        <f t="shared" si="29"/>
        <v>8.3510638297872308E-2</v>
      </c>
      <c r="G36" s="43">
        <f t="shared" si="29"/>
        <v>-0.25208640157093765</v>
      </c>
      <c r="H36" s="43">
        <f t="shared" si="29"/>
        <v>0.71283229405973092</v>
      </c>
      <c r="I36" s="43">
        <f t="shared" si="29"/>
        <v>3.6405441655489312E-3</v>
      </c>
      <c r="J36" s="43">
        <f t="shared" si="29"/>
        <v>4.9999999999999822E-2</v>
      </c>
      <c r="K36" s="43">
        <f t="shared" si="29"/>
        <v>5.0000000000000044E-2</v>
      </c>
      <c r="L36" s="43">
        <f t="shared" si="29"/>
        <v>5.0000000000000044E-2</v>
      </c>
      <c r="M36" s="43">
        <f t="shared" si="29"/>
        <v>5.0000000000000044E-2</v>
      </c>
      <c r="N36" s="43">
        <f t="shared" si="29"/>
        <v>5.0000000000000044E-2</v>
      </c>
    </row>
    <row r="37" spans="1:15" x14ac:dyDescent="0.25">
      <c r="A37" s="42" t="s">
        <v>147</v>
      </c>
      <c r="B37" s="43">
        <f t="shared" ref="B37:I37" si="30">+IFERROR(B35/B$21,"nm")</f>
        <v>0.27409024745269289</v>
      </c>
      <c r="C37" s="43">
        <f t="shared" si="30"/>
        <v>0.26388512598211866</v>
      </c>
      <c r="D37" s="43">
        <f t="shared" si="30"/>
        <v>0.26386698212407994</v>
      </c>
      <c r="E37" s="43">
        <f t="shared" si="30"/>
        <v>0.25311342982160889</v>
      </c>
      <c r="F37" s="43">
        <f t="shared" si="30"/>
        <v>0.25619418941013711</v>
      </c>
      <c r="G37" s="43">
        <f t="shared" si="30"/>
        <v>0.2103700635183651</v>
      </c>
      <c r="H37" s="43">
        <f t="shared" si="30"/>
        <v>0.30380115256999823</v>
      </c>
      <c r="I37" s="43">
        <f t="shared" si="30"/>
        <v>0.28540293140086087</v>
      </c>
      <c r="J37" s="49">
        <f>+I37</f>
        <v>0.28540293140086087</v>
      </c>
      <c r="K37" s="49">
        <f>+J37</f>
        <v>0.28540293140086087</v>
      </c>
      <c r="L37" s="49">
        <f>+K37</f>
        <v>0.28540293140086087</v>
      </c>
      <c r="M37" s="49">
        <f>+L37</f>
        <v>0.28540293140086087</v>
      </c>
      <c r="N37" s="49">
        <f>+M37</f>
        <v>0.28540293140086087</v>
      </c>
    </row>
    <row r="38" spans="1:15" x14ac:dyDescent="0.25">
      <c r="A38" s="10" t="s">
        <v>148</v>
      </c>
      <c r="B38" s="10">
        <f>+Historicals!B167</f>
        <v>121</v>
      </c>
      <c r="C38" s="10">
        <f>+Historicals!C167</f>
        <v>133</v>
      </c>
      <c r="D38" s="10">
        <f>+Historicals!D167</f>
        <v>140</v>
      </c>
      <c r="E38" s="10">
        <f>+Historicals!E167</f>
        <v>160</v>
      </c>
      <c r="F38" s="10">
        <f>+Historicals!F167</f>
        <v>149</v>
      </c>
      <c r="G38" s="10">
        <f>+Historicals!G167</f>
        <v>148</v>
      </c>
      <c r="H38" s="10">
        <f>+Historicals!H167</f>
        <v>130</v>
      </c>
      <c r="I38" s="10">
        <f>+Historicals!I167</f>
        <v>124</v>
      </c>
      <c r="J38" s="51">
        <f>+J41*J48</f>
        <v>130.20000000000002</v>
      </c>
      <c r="K38" s="51">
        <f>+K41*K48</f>
        <v>136.71000000000004</v>
      </c>
      <c r="L38" s="51">
        <f>+L41*L48</f>
        <v>143.54550000000003</v>
      </c>
      <c r="M38" s="51">
        <f>+M41*M48</f>
        <v>150.72277500000004</v>
      </c>
      <c r="N38" s="51">
        <f>+N41*N48</f>
        <v>158.25891375000003</v>
      </c>
    </row>
    <row r="39" spans="1:15" x14ac:dyDescent="0.25">
      <c r="A39" s="42" t="s">
        <v>144</v>
      </c>
      <c r="B39" s="43" t="str">
        <f t="shared" ref="B39:N39" si="31">+IFERROR(B38/A38-1,"nm")</f>
        <v>nm</v>
      </c>
      <c r="C39" s="43">
        <f t="shared" si="31"/>
        <v>9.9173553719008156E-2</v>
      </c>
      <c r="D39" s="43">
        <f t="shared" si="31"/>
        <v>5.2631578947368363E-2</v>
      </c>
      <c r="E39" s="43">
        <f t="shared" si="31"/>
        <v>0.14285714285714279</v>
      </c>
      <c r="F39" s="43">
        <f t="shared" si="31"/>
        <v>-6.8749999999999978E-2</v>
      </c>
      <c r="G39" s="43">
        <f t="shared" si="31"/>
        <v>-6.7114093959731447E-3</v>
      </c>
      <c r="H39" s="43">
        <f t="shared" si="31"/>
        <v>-0.1216216216216216</v>
      </c>
      <c r="I39" s="43">
        <f t="shared" si="31"/>
        <v>-4.6153846153846101E-2</v>
      </c>
      <c r="J39" s="43">
        <f t="shared" si="31"/>
        <v>5.0000000000000044E-2</v>
      </c>
      <c r="K39" s="43">
        <f t="shared" si="31"/>
        <v>5.0000000000000044E-2</v>
      </c>
      <c r="L39" s="43">
        <f t="shared" si="31"/>
        <v>5.0000000000000044E-2</v>
      </c>
      <c r="M39" s="43">
        <f t="shared" si="31"/>
        <v>5.0000000000000044E-2</v>
      </c>
      <c r="N39" s="43">
        <f t="shared" si="31"/>
        <v>5.0000000000000044E-2</v>
      </c>
    </row>
    <row r="40" spans="1:15" x14ac:dyDescent="0.25">
      <c r="A40" s="42" t="s">
        <v>150</v>
      </c>
      <c r="B40" s="43">
        <f t="shared" ref="B40:N40" si="32">+IFERROR(B38/B$21,"nm")</f>
        <v>8.8064046579330417E-3</v>
      </c>
      <c r="C40" s="43">
        <f t="shared" si="32"/>
        <v>9.0083988079111346E-3</v>
      </c>
      <c r="D40" s="43">
        <f t="shared" si="32"/>
        <v>9.2008412197686646E-3</v>
      </c>
      <c r="E40" s="43">
        <f t="shared" si="32"/>
        <v>1.0770784247728038E-2</v>
      </c>
      <c r="F40" s="43">
        <f t="shared" si="32"/>
        <v>9.3698905798012821E-3</v>
      </c>
      <c r="G40" s="43">
        <f t="shared" si="32"/>
        <v>1.0218171775752554E-2</v>
      </c>
      <c r="H40" s="43">
        <f t="shared" si="32"/>
        <v>7.5673787764130628E-3</v>
      </c>
      <c r="I40" s="43">
        <f t="shared" si="32"/>
        <v>6.7563886013185855E-3</v>
      </c>
      <c r="J40" s="43">
        <f t="shared" si="32"/>
        <v>6.7563886013185855E-3</v>
      </c>
      <c r="K40" s="43">
        <f t="shared" si="32"/>
        <v>6.7563886013185864E-3</v>
      </c>
      <c r="L40" s="43">
        <f t="shared" si="32"/>
        <v>6.7563886013185855E-3</v>
      </c>
      <c r="M40" s="43">
        <f t="shared" si="32"/>
        <v>6.7563886013185864E-3</v>
      </c>
      <c r="N40" s="43">
        <f t="shared" si="32"/>
        <v>6.7563886013185855E-3</v>
      </c>
    </row>
    <row r="41" spans="1:15" x14ac:dyDescent="0.25">
      <c r="A41" s="42" t="s">
        <v>162</v>
      </c>
      <c r="B41" s="43">
        <f t="shared" ref="B41:I41" si="33">+IFERROR(B38/B48,"nm")</f>
        <v>0.19145569620253164</v>
      </c>
      <c r="C41" s="43">
        <f t="shared" si="33"/>
        <v>0.17924528301886791</v>
      </c>
      <c r="D41" s="43">
        <f t="shared" si="33"/>
        <v>0.17094017094017094</v>
      </c>
      <c r="E41" s="43">
        <f t="shared" si="33"/>
        <v>0.18867924528301888</v>
      </c>
      <c r="F41" s="43">
        <f t="shared" si="33"/>
        <v>0.18304668304668303</v>
      </c>
      <c r="G41" s="43">
        <f t="shared" si="33"/>
        <v>0.22945736434108527</v>
      </c>
      <c r="H41" s="43">
        <f t="shared" si="33"/>
        <v>0.21069692058346839</v>
      </c>
      <c r="I41" s="43">
        <f t="shared" si="33"/>
        <v>0.19405320813771518</v>
      </c>
      <c r="J41" s="49">
        <f>+I41</f>
        <v>0.19405320813771518</v>
      </c>
      <c r="K41" s="49">
        <f>+J41</f>
        <v>0.19405320813771518</v>
      </c>
      <c r="L41" s="49">
        <f>+K41</f>
        <v>0.19405320813771518</v>
      </c>
      <c r="M41" s="49">
        <f>+L41</f>
        <v>0.19405320813771518</v>
      </c>
      <c r="N41" s="49">
        <f>+M41</f>
        <v>0.19405320813771518</v>
      </c>
    </row>
    <row r="42" spans="1:15" x14ac:dyDescent="0.25">
      <c r="A42" s="10" t="s">
        <v>151</v>
      </c>
      <c r="B42" s="10">
        <f>+Historicals!B134</f>
        <v>3645</v>
      </c>
      <c r="C42" s="10">
        <f>+Historicals!C134</f>
        <v>3763</v>
      </c>
      <c r="D42" s="10">
        <f>+Historicals!D134</f>
        <v>3875</v>
      </c>
      <c r="E42" s="10">
        <f>+Historicals!E134</f>
        <v>3600</v>
      </c>
      <c r="F42" s="10">
        <f>+Historicals!F134</f>
        <v>3925</v>
      </c>
      <c r="G42" s="10">
        <f>+Historicals!G134</f>
        <v>2899</v>
      </c>
      <c r="H42" s="10">
        <f>+Historicals!H134</f>
        <v>5089</v>
      </c>
      <c r="I42" s="10">
        <f>+Historicals!I134</f>
        <v>5114</v>
      </c>
      <c r="J42" s="10">
        <f>+J35-J38</f>
        <v>5369.7</v>
      </c>
      <c r="K42" s="10">
        <f>+K35-K38</f>
        <v>5638.1850000000004</v>
      </c>
      <c r="L42" s="10">
        <f>+L35-L38</f>
        <v>5920.0942500000001</v>
      </c>
      <c r="M42" s="10">
        <f>+M35-M38</f>
        <v>6216.0989625000002</v>
      </c>
      <c r="N42" s="10">
        <f>+N35-N38</f>
        <v>6526.9039106250011</v>
      </c>
    </row>
    <row r="43" spans="1:15" x14ac:dyDescent="0.25">
      <c r="A43" s="42" t="s">
        <v>144</v>
      </c>
      <c r="B43" s="43" t="str">
        <f t="shared" ref="B43:N43" si="34">+IFERROR(B42/A42-1,"nm")</f>
        <v>nm</v>
      </c>
      <c r="C43" s="43">
        <f t="shared" si="34"/>
        <v>3.2373113854595292E-2</v>
      </c>
      <c r="D43" s="43">
        <f t="shared" si="34"/>
        <v>2.9763486579856391E-2</v>
      </c>
      <c r="E43" s="43">
        <f t="shared" si="34"/>
        <v>-7.096774193548383E-2</v>
      </c>
      <c r="F43" s="43">
        <f t="shared" si="34"/>
        <v>9.0277777777777679E-2</v>
      </c>
      <c r="G43" s="43">
        <f t="shared" si="34"/>
        <v>-0.26140127388535028</v>
      </c>
      <c r="H43" s="43">
        <f t="shared" si="34"/>
        <v>0.75543290789927564</v>
      </c>
      <c r="I43" s="43">
        <f t="shared" si="34"/>
        <v>4.9125564943997002E-3</v>
      </c>
      <c r="J43" s="43">
        <f t="shared" si="34"/>
        <v>5.0000000000000044E-2</v>
      </c>
      <c r="K43" s="43">
        <f t="shared" si="34"/>
        <v>5.0000000000000044E-2</v>
      </c>
      <c r="L43" s="43">
        <f t="shared" si="34"/>
        <v>5.0000000000000044E-2</v>
      </c>
      <c r="M43" s="43">
        <f t="shared" si="34"/>
        <v>5.0000000000000044E-2</v>
      </c>
      <c r="N43" s="43">
        <f t="shared" si="34"/>
        <v>5.0000000000000044E-2</v>
      </c>
    </row>
    <row r="44" spans="1:15" x14ac:dyDescent="0.25">
      <c r="A44" s="42" t="s">
        <v>147</v>
      </c>
      <c r="B44" s="43">
        <f t="shared" ref="B44:N44" si="35">+IFERROR(B42/B$21,"nm")</f>
        <v>0.26528384279475981</v>
      </c>
      <c r="C44" s="43">
        <f t="shared" si="35"/>
        <v>0.25487672717420751</v>
      </c>
      <c r="D44" s="43">
        <f t="shared" si="35"/>
        <v>0.25466614090431128</v>
      </c>
      <c r="E44" s="43">
        <f t="shared" si="35"/>
        <v>0.24234264557388085</v>
      </c>
      <c r="F44" s="43">
        <f t="shared" si="35"/>
        <v>0.2468242988303358</v>
      </c>
      <c r="G44" s="43">
        <f t="shared" si="35"/>
        <v>0.20015189174261253</v>
      </c>
      <c r="H44" s="43">
        <f t="shared" si="35"/>
        <v>0.29623377379358518</v>
      </c>
      <c r="I44" s="43">
        <f t="shared" si="35"/>
        <v>0.27864654279954232</v>
      </c>
      <c r="J44" s="43">
        <f t="shared" si="35"/>
        <v>0.27864654279954226</v>
      </c>
      <c r="K44" s="43">
        <f t="shared" si="35"/>
        <v>0.27864654279954232</v>
      </c>
      <c r="L44" s="43">
        <f t="shared" si="35"/>
        <v>0.27864654279954226</v>
      </c>
      <c r="M44" s="43">
        <f t="shared" si="35"/>
        <v>0.27864654279954226</v>
      </c>
      <c r="N44" s="43">
        <f t="shared" si="35"/>
        <v>0.27864654279954232</v>
      </c>
    </row>
    <row r="45" spans="1:15" x14ac:dyDescent="0.25">
      <c r="A45" s="10" t="s">
        <v>153</v>
      </c>
      <c r="B45" s="10">
        <f>+Historicals!B156</f>
        <v>208</v>
      </c>
      <c r="C45" s="10">
        <f>+Historicals!C156</f>
        <v>242</v>
      </c>
      <c r="D45" s="10">
        <f>+Historicals!D156</f>
        <v>223</v>
      </c>
      <c r="E45" s="10">
        <f>+Historicals!E156</f>
        <v>196</v>
      </c>
      <c r="F45" s="10">
        <f>+Historicals!F156</f>
        <v>117</v>
      </c>
      <c r="G45" s="10">
        <f>+Historicals!G156</f>
        <v>110</v>
      </c>
      <c r="H45" s="10">
        <f>+Historicals!H156</f>
        <v>98</v>
      </c>
      <c r="I45" s="10">
        <f>+Historicals!I156</f>
        <v>146</v>
      </c>
      <c r="J45" s="51">
        <f>+J21*J47</f>
        <v>153.30000000000004</v>
      </c>
      <c r="K45" s="51">
        <f>+K21*K47</f>
        <v>160.96500000000003</v>
      </c>
      <c r="L45" s="51">
        <f>+L21*L47</f>
        <v>169.01325000000006</v>
      </c>
      <c r="M45" s="51">
        <f>+M21*M47</f>
        <v>177.46391250000005</v>
      </c>
      <c r="N45" s="51">
        <f>+N21*N47</f>
        <v>186.33710812500007</v>
      </c>
    </row>
    <row r="46" spans="1:15" x14ac:dyDescent="0.25">
      <c r="A46" s="42" t="s">
        <v>144</v>
      </c>
      <c r="B46" s="43" t="str">
        <f t="shared" ref="B46:N46" si="36">+IFERROR(B45/A45-1,"nm")</f>
        <v>nm</v>
      </c>
      <c r="C46" s="43">
        <f t="shared" si="36"/>
        <v>0.16346153846153855</v>
      </c>
      <c r="D46" s="43">
        <f t="shared" si="36"/>
        <v>-7.8512396694214837E-2</v>
      </c>
      <c r="E46" s="43">
        <f t="shared" si="36"/>
        <v>-0.12107623318385652</v>
      </c>
      <c r="F46" s="43">
        <f t="shared" si="36"/>
        <v>-0.40306122448979587</v>
      </c>
      <c r="G46" s="43">
        <f t="shared" si="36"/>
        <v>-5.9829059829059839E-2</v>
      </c>
      <c r="H46" s="43">
        <f t="shared" si="36"/>
        <v>-0.10909090909090913</v>
      </c>
      <c r="I46" s="43">
        <f t="shared" si="36"/>
        <v>0.48979591836734704</v>
      </c>
      <c r="J46" s="43">
        <f t="shared" si="36"/>
        <v>5.0000000000000266E-2</v>
      </c>
      <c r="K46" s="43">
        <f t="shared" si="36"/>
        <v>5.0000000000000044E-2</v>
      </c>
      <c r="L46" s="43">
        <f t="shared" si="36"/>
        <v>5.0000000000000044E-2</v>
      </c>
      <c r="M46" s="43">
        <f t="shared" si="36"/>
        <v>5.0000000000000044E-2</v>
      </c>
      <c r="N46" s="43">
        <f t="shared" si="36"/>
        <v>5.0000000000000044E-2</v>
      </c>
    </row>
    <row r="47" spans="1:15" x14ac:dyDescent="0.25">
      <c r="A47" s="42" t="s">
        <v>150</v>
      </c>
      <c r="B47" s="43">
        <f t="shared" ref="B47:I47" si="37">+IFERROR(B45/B$21,"nm")</f>
        <v>1.5138282387190683E-2</v>
      </c>
      <c r="C47" s="43">
        <f t="shared" si="37"/>
        <v>1.6391221891086428E-2</v>
      </c>
      <c r="D47" s="43">
        <f t="shared" si="37"/>
        <v>1.4655625657202945E-2</v>
      </c>
      <c r="E47" s="43">
        <f t="shared" si="37"/>
        <v>1.3194210703466847E-2</v>
      </c>
      <c r="F47" s="43">
        <f t="shared" si="37"/>
        <v>7.3575650861526856E-3</v>
      </c>
      <c r="G47" s="43">
        <f t="shared" si="37"/>
        <v>7.5945871306268989E-3</v>
      </c>
      <c r="H47" s="43">
        <f t="shared" si="37"/>
        <v>5.7046393852960009E-3</v>
      </c>
      <c r="I47" s="43">
        <f t="shared" si="37"/>
        <v>7.9551027080041418E-3</v>
      </c>
      <c r="J47" s="49">
        <f>+I47</f>
        <v>7.9551027080041418E-3</v>
      </c>
      <c r="K47" s="49">
        <f>+J47</f>
        <v>7.9551027080041418E-3</v>
      </c>
      <c r="L47" s="49">
        <f>+K47</f>
        <v>7.9551027080041418E-3</v>
      </c>
      <c r="M47" s="49">
        <f>+L47</f>
        <v>7.9551027080041418E-3</v>
      </c>
      <c r="N47" s="49">
        <f>+M47</f>
        <v>7.9551027080041418E-3</v>
      </c>
    </row>
    <row r="48" spans="1:15" x14ac:dyDescent="0.25">
      <c r="A48" s="10" t="s">
        <v>155</v>
      </c>
      <c r="B48" s="10">
        <f>+Historicals!B145</f>
        <v>632</v>
      </c>
      <c r="C48" s="10">
        <f>+Historicals!C145</f>
        <v>742</v>
      </c>
      <c r="D48" s="10">
        <f>+Historicals!D145</f>
        <v>819</v>
      </c>
      <c r="E48" s="10">
        <f>+Historicals!E145</f>
        <v>848</v>
      </c>
      <c r="F48" s="10">
        <f>+Historicals!F145</f>
        <v>814</v>
      </c>
      <c r="G48" s="10">
        <f>+Historicals!G145</f>
        <v>645</v>
      </c>
      <c r="H48" s="10">
        <f>+Historicals!H145</f>
        <v>617</v>
      </c>
      <c r="I48" s="10">
        <f>+Historicals!I145</f>
        <v>639</v>
      </c>
      <c r="J48" s="51">
        <f>+J21*J50</f>
        <v>670.95000000000016</v>
      </c>
      <c r="K48" s="51">
        <f>+K21*K50</f>
        <v>704.49750000000017</v>
      </c>
      <c r="L48" s="51">
        <f>+L21*L50</f>
        <v>739.72237500000017</v>
      </c>
      <c r="M48" s="51">
        <f>+M21*M50</f>
        <v>776.70849375000023</v>
      </c>
      <c r="N48" s="51">
        <f>+N21*N50</f>
        <v>815.54391843750022</v>
      </c>
    </row>
    <row r="49" spans="1:15" x14ac:dyDescent="0.25">
      <c r="A49" s="42" t="s">
        <v>144</v>
      </c>
      <c r="B49" s="43" t="str">
        <f t="shared" ref="B49:I49" si="38">+IFERROR(B48/A48-1,"nm")</f>
        <v>nm</v>
      </c>
      <c r="C49" s="43">
        <f t="shared" si="38"/>
        <v>0.17405063291139244</v>
      </c>
      <c r="D49" s="43">
        <f t="shared" si="38"/>
        <v>0.10377358490566047</v>
      </c>
      <c r="E49" s="43">
        <f t="shared" si="38"/>
        <v>3.5409035409035505E-2</v>
      </c>
      <c r="F49" s="43">
        <f t="shared" si="38"/>
        <v>-4.0094339622641528E-2</v>
      </c>
      <c r="G49" s="43">
        <f t="shared" si="38"/>
        <v>-0.20761670761670759</v>
      </c>
      <c r="H49" s="43">
        <f t="shared" si="38"/>
        <v>-4.3410852713178349E-2</v>
      </c>
      <c r="I49" s="43">
        <f t="shared" si="38"/>
        <v>3.5656401944894611E-2</v>
      </c>
      <c r="J49" s="43">
        <f>+J50+J51</f>
        <v>3.4817196098730456E-2</v>
      </c>
      <c r="K49" s="43">
        <f>+K50+K51</f>
        <v>3.4817196098730456E-2</v>
      </c>
      <c r="L49" s="43">
        <f>+L50+L51</f>
        <v>3.4817196098730456E-2</v>
      </c>
      <c r="M49" s="43">
        <f>+M50+M51</f>
        <v>3.4817196098730456E-2</v>
      </c>
      <c r="N49" s="43">
        <f>+N50+N51</f>
        <v>3.4817196098730456E-2</v>
      </c>
    </row>
    <row r="50" spans="1:15" x14ac:dyDescent="0.25">
      <c r="A50" s="42" t="s">
        <v>150</v>
      </c>
      <c r="B50" s="43">
        <f t="shared" ref="B50:I50" si="39">+IFERROR(B48/B$21,"nm")</f>
        <v>4.599708879184862E-2</v>
      </c>
      <c r="C50" s="43">
        <f t="shared" si="39"/>
        <v>5.0257382823083174E-2</v>
      </c>
      <c r="D50" s="43">
        <f t="shared" si="39"/>
        <v>5.3824921135646686E-2</v>
      </c>
      <c r="E50" s="43">
        <f t="shared" si="39"/>
        <v>5.7085156512958597E-2</v>
      </c>
      <c r="F50" s="43">
        <f t="shared" si="39"/>
        <v>5.1188529744686205E-2</v>
      </c>
      <c r="G50" s="43">
        <f t="shared" si="39"/>
        <v>4.4531897265948632E-2</v>
      </c>
      <c r="H50" s="43">
        <f t="shared" si="39"/>
        <v>3.5915943884975841E-2</v>
      </c>
      <c r="I50" s="43">
        <f t="shared" si="39"/>
        <v>3.4817196098730456E-2</v>
      </c>
      <c r="J50" s="49">
        <f>+I50</f>
        <v>3.4817196098730456E-2</v>
      </c>
      <c r="K50" s="49">
        <f>+J50</f>
        <v>3.4817196098730456E-2</v>
      </c>
      <c r="L50" s="49">
        <f>+K50</f>
        <v>3.4817196098730456E-2</v>
      </c>
      <c r="M50" s="49">
        <f>+L50</f>
        <v>3.4817196098730456E-2</v>
      </c>
      <c r="N50" s="49">
        <f>+M50</f>
        <v>3.4817196098730456E-2</v>
      </c>
    </row>
    <row r="51" spans="1:15" x14ac:dyDescent="0.25">
      <c r="A51" s="46" t="str">
        <f>+Historicals!A111</f>
        <v>Europe, Middle East &amp; Africa</v>
      </c>
      <c r="B51" s="46"/>
      <c r="C51" s="46"/>
      <c r="D51" s="46"/>
      <c r="E51" s="46"/>
      <c r="F51" s="46"/>
      <c r="G51" s="46"/>
      <c r="H51" s="46"/>
      <c r="I51" s="46"/>
      <c r="J51" s="39"/>
      <c r="K51" s="39"/>
      <c r="L51" s="39"/>
      <c r="M51" s="39"/>
      <c r="N51" s="39"/>
    </row>
    <row r="52" spans="1:15" x14ac:dyDescent="0.25">
      <c r="A52" s="10" t="s">
        <v>157</v>
      </c>
      <c r="B52" s="3">
        <f t="shared" ref="B52:I52" si="40">B54+B58+B62</f>
        <v>7126</v>
      </c>
      <c r="C52" s="3">
        <f t="shared" si="40"/>
        <v>7568</v>
      </c>
      <c r="D52" s="3">
        <f t="shared" si="40"/>
        <v>7970</v>
      </c>
      <c r="E52" s="3">
        <f t="shared" si="40"/>
        <v>9242</v>
      </c>
      <c r="F52" s="3">
        <f t="shared" si="40"/>
        <v>9812</v>
      </c>
      <c r="G52" s="3">
        <f t="shared" si="40"/>
        <v>9347</v>
      </c>
      <c r="H52" s="3">
        <f t="shared" si="40"/>
        <v>11456</v>
      </c>
      <c r="I52" s="3">
        <f t="shared" si="40"/>
        <v>12479</v>
      </c>
      <c r="J52" s="52">
        <f>+I52*(1.08)</f>
        <v>13477.320000000002</v>
      </c>
      <c r="K52" s="52">
        <f>+J52*(1.08)</f>
        <v>14555.505600000002</v>
      </c>
      <c r="L52" s="52">
        <f>+K52*(1.08)</f>
        <v>15719.946048000003</v>
      </c>
      <c r="M52" s="52">
        <f>+L52*(1.08)</f>
        <v>16977.541731840003</v>
      </c>
      <c r="N52" s="52">
        <f>+M52*(1.08)</f>
        <v>18335.745070387205</v>
      </c>
    </row>
    <row r="53" spans="1:15" x14ac:dyDescent="0.25">
      <c r="A53" s="47" t="s">
        <v>144</v>
      </c>
      <c r="B53" s="53">
        <f>+Historicals!B183</f>
        <v>0.1193842287150487</v>
      </c>
      <c r="C53" s="53">
        <f>+Historicals!C183</f>
        <v>6.2026382262138649E-2</v>
      </c>
      <c r="D53" s="53">
        <f>+Historicals!D183</f>
        <v>5.3118393234672302E-2</v>
      </c>
      <c r="E53" s="53">
        <f>+Historicals!E183</f>
        <v>0.15959849435382686</v>
      </c>
      <c r="F53" s="53">
        <f>+Historicals!F183</f>
        <v>6.1674962129409219E-2</v>
      </c>
      <c r="G53" s="53">
        <f>+Historicals!G183</f>
        <v>-4.7390949857317573E-2</v>
      </c>
      <c r="H53" s="53">
        <f>+Historicals!H183</f>
        <v>0.22563389322777361</v>
      </c>
      <c r="I53" s="53">
        <f>+Historicals!I183</f>
        <v>8.9298184357541902E-2</v>
      </c>
      <c r="J53" s="45">
        <f>J52/I52-1</f>
        <v>8.0000000000000071E-2</v>
      </c>
      <c r="K53" s="45">
        <f>K52/J52-1</f>
        <v>8.0000000000000071E-2</v>
      </c>
      <c r="L53" s="45">
        <f>L52/K52-1</f>
        <v>8.0000000000000071E-2</v>
      </c>
      <c r="M53" s="45">
        <f>M52/L52-1</f>
        <v>8.0000000000000071E-2</v>
      </c>
      <c r="N53" s="45">
        <f>N52/M52-1</f>
        <v>8.0000000000000071E-2</v>
      </c>
    </row>
    <row r="54" spans="1:15" x14ac:dyDescent="0.25">
      <c r="A54" s="48" t="s">
        <v>116</v>
      </c>
      <c r="B54">
        <f>+Historicals!B112</f>
        <v>4703</v>
      </c>
      <c r="C54">
        <f>+Historicals!C112</f>
        <v>5043</v>
      </c>
      <c r="D54">
        <f>+Historicals!D112</f>
        <v>5192</v>
      </c>
      <c r="E54">
        <f>+Historicals!E112</f>
        <v>5875</v>
      </c>
      <c r="F54">
        <f>+Historicals!F112</f>
        <v>6293</v>
      </c>
      <c r="G54">
        <f>+Historicals!G112</f>
        <v>5892</v>
      </c>
      <c r="H54" s="18">
        <f>+Historicals!H112</f>
        <v>6970</v>
      </c>
      <c r="I54" s="18">
        <f>+Historicals!I112</f>
        <v>7388</v>
      </c>
      <c r="J54" s="54">
        <f>+I54*(1+I55)</f>
        <v>7831.0680057388818</v>
      </c>
      <c r="K54" s="54">
        <f>+J54*(1+J55)</f>
        <v>8300.707378249479</v>
      </c>
      <c r="L54" s="54">
        <f>+K54*(1+K55)</f>
        <v>8798.5116370885444</v>
      </c>
      <c r="M54" s="54">
        <f>+L54*(1+L55)</f>
        <v>9326.1698672611437</v>
      </c>
      <c r="N54" s="54">
        <f>+M54*(1+M55)</f>
        <v>9885.4724504053556</v>
      </c>
    </row>
    <row r="55" spans="1:15" x14ac:dyDescent="0.25">
      <c r="A55" s="47" t="s">
        <v>144</v>
      </c>
      <c r="B55" t="str">
        <f ca="1">IFERROR(B55/A55-1,"nm")</f>
        <v>nm</v>
      </c>
      <c r="C55" s="45">
        <f t="shared" ref="C55:N55" si="41">C54/B54-1</f>
        <v>7.2294280246651077E-2</v>
      </c>
      <c r="D55" s="45">
        <f t="shared" si="41"/>
        <v>2.9545905215149659E-2</v>
      </c>
      <c r="E55" s="45">
        <f t="shared" si="41"/>
        <v>0.1315485362095532</v>
      </c>
      <c r="F55" s="45">
        <f t="shared" si="41"/>
        <v>7.1148936170212673E-2</v>
      </c>
      <c r="G55" s="45">
        <f t="shared" si="41"/>
        <v>-6.3721595423486432E-2</v>
      </c>
      <c r="H55" s="45">
        <f t="shared" si="41"/>
        <v>0.18295994568907004</v>
      </c>
      <c r="I55" s="45">
        <f t="shared" si="41"/>
        <v>5.9971305595408975E-2</v>
      </c>
      <c r="J55" s="45">
        <f t="shared" si="41"/>
        <v>5.9971305595408975E-2</v>
      </c>
      <c r="K55" s="45">
        <f t="shared" si="41"/>
        <v>5.9971305595408975E-2</v>
      </c>
      <c r="L55" s="45">
        <f t="shared" si="41"/>
        <v>5.9971305595408975E-2</v>
      </c>
      <c r="M55" s="45">
        <f t="shared" si="41"/>
        <v>5.9971305595408975E-2</v>
      </c>
      <c r="N55" s="45">
        <f t="shared" si="41"/>
        <v>5.9971305595408975E-2</v>
      </c>
    </row>
    <row r="56" spans="1:15" x14ac:dyDescent="0.25">
      <c r="A56" s="47" t="s">
        <v>158</v>
      </c>
      <c r="B56" s="53">
        <f>+Historicals!B184</f>
        <v>0.15780403741999016</v>
      </c>
      <c r="C56" s="53">
        <f>+Historicals!C184</f>
        <v>7.2294280246651077E-2</v>
      </c>
      <c r="D56" s="53">
        <f>+Historicals!D184</f>
        <v>2.9545905215149711E-2</v>
      </c>
      <c r="E56" s="53">
        <f>+Historicals!E184</f>
        <v>0.13154853620955315</v>
      </c>
      <c r="F56" s="53">
        <f>+Historicals!F184</f>
        <v>7.114893617021277E-2</v>
      </c>
      <c r="G56" s="53">
        <f>+Historicals!G184</f>
        <v>-6.3721595423486418E-2</v>
      </c>
      <c r="H56" s="53">
        <f>+Historicals!H184</f>
        <v>0.18295994568906992</v>
      </c>
      <c r="I56" s="53">
        <f>+Historicals!I184</f>
        <v>5.9971305595408898E-2</v>
      </c>
      <c r="J56" s="45">
        <v>0.09</v>
      </c>
      <c r="K56" s="45">
        <v>0.1</v>
      </c>
      <c r="L56" s="45">
        <v>0.11</v>
      </c>
      <c r="M56" s="45">
        <v>0.12</v>
      </c>
      <c r="N56" s="45">
        <v>0.13</v>
      </c>
      <c r="O56" t="s">
        <v>163</v>
      </c>
    </row>
    <row r="57" spans="1:15" x14ac:dyDescent="0.25">
      <c r="A57" s="47" t="s">
        <v>160</v>
      </c>
      <c r="B57" t="str">
        <f ca="1">IFERROR(B55-B56,"nm")</f>
        <v>nm</v>
      </c>
      <c r="C57" s="45">
        <f t="shared" ref="C57:N57" si="42">C55-C56</f>
        <v>0</v>
      </c>
      <c r="D57" s="45">
        <f t="shared" si="42"/>
        <v>-5.2041704279304213E-17</v>
      </c>
      <c r="E57" s="45">
        <f t="shared" si="42"/>
        <v>0</v>
      </c>
      <c r="F57" s="45">
        <f t="shared" si="42"/>
        <v>0</v>
      </c>
      <c r="G57" s="45">
        <f t="shared" si="42"/>
        <v>0</v>
      </c>
      <c r="H57" s="45">
        <f t="shared" si="42"/>
        <v>0</v>
      </c>
      <c r="I57" s="45">
        <f t="shared" si="42"/>
        <v>7.6327832942979512E-17</v>
      </c>
      <c r="J57" s="45">
        <f t="shared" si="42"/>
        <v>-3.0028694404591022E-2</v>
      </c>
      <c r="K57" s="45">
        <f t="shared" si="42"/>
        <v>-4.0028694404591031E-2</v>
      </c>
      <c r="L57" s="45">
        <f t="shared" si="42"/>
        <v>-5.0028694404591026E-2</v>
      </c>
      <c r="M57" s="45">
        <f t="shared" si="42"/>
        <v>-6.0028694404591021E-2</v>
      </c>
      <c r="N57" s="45">
        <f t="shared" si="42"/>
        <v>-7.002869440459103E-2</v>
      </c>
    </row>
    <row r="58" spans="1:15" x14ac:dyDescent="0.25">
      <c r="A58" s="48" t="s">
        <v>117</v>
      </c>
      <c r="B58">
        <f>+Historicals!B113</f>
        <v>2051</v>
      </c>
      <c r="C58">
        <f>+Historicals!C113</f>
        <v>2149</v>
      </c>
      <c r="D58">
        <f>+Historicals!D113</f>
        <v>2395</v>
      </c>
      <c r="E58">
        <f>+Historicals!E113</f>
        <v>2940</v>
      </c>
      <c r="F58">
        <f>+Historicals!F113</f>
        <v>3087</v>
      </c>
      <c r="G58">
        <f>+Historicals!G113</f>
        <v>3053</v>
      </c>
      <c r="H58" s="18">
        <f>+Historicals!H113</f>
        <v>3996</v>
      </c>
      <c r="I58" s="18">
        <f>+Historicals!I113</f>
        <v>4527</v>
      </c>
      <c r="J58" s="54">
        <f>+I58*(1+I59)</f>
        <v>5128.5608108108108</v>
      </c>
      <c r="K58" s="54">
        <f>+J58*(1+J59)</f>
        <v>5810.0587563915269</v>
      </c>
      <c r="L58" s="54">
        <f>+K58*(1+K59)</f>
        <v>6582.1161136597711</v>
      </c>
      <c r="M58" s="54">
        <f>+L58*(1+L59)</f>
        <v>7456.7666783127597</v>
      </c>
      <c r="N58" s="54">
        <f>+M58*(1+M59)</f>
        <v>8447.6433315119793</v>
      </c>
    </row>
    <row r="59" spans="1:15" x14ac:dyDescent="0.25">
      <c r="A59" s="47" t="s">
        <v>144</v>
      </c>
      <c r="B59" t="str">
        <f>IFERROR(B58/A58-1,"nm")</f>
        <v>nm</v>
      </c>
      <c r="C59" s="45">
        <f t="shared" ref="C59:N59" si="43">C58/B58-1</f>
        <v>4.7781569965870352E-2</v>
      </c>
      <c r="D59" s="45">
        <f t="shared" si="43"/>
        <v>0.11447184737087013</v>
      </c>
      <c r="E59" s="45">
        <f t="shared" si="43"/>
        <v>0.22755741127348639</v>
      </c>
      <c r="F59" s="45">
        <f t="shared" si="43"/>
        <v>5.0000000000000044E-2</v>
      </c>
      <c r="G59" s="45">
        <f t="shared" si="43"/>
        <v>-1.1013929381276322E-2</v>
      </c>
      <c r="H59" s="45">
        <f t="shared" si="43"/>
        <v>0.30887651490337364</v>
      </c>
      <c r="I59" s="45">
        <f t="shared" si="43"/>
        <v>0.13288288288288297</v>
      </c>
      <c r="J59" s="45">
        <f t="shared" si="43"/>
        <v>0.13288288288288297</v>
      </c>
      <c r="K59" s="45">
        <f t="shared" si="43"/>
        <v>0.13288288288288297</v>
      </c>
      <c r="L59" s="45">
        <f t="shared" si="43"/>
        <v>0.13288288288288297</v>
      </c>
      <c r="M59" s="45">
        <f t="shared" si="43"/>
        <v>0.13288288288288297</v>
      </c>
      <c r="N59" s="45">
        <f t="shared" si="43"/>
        <v>0.13288288288288319</v>
      </c>
    </row>
    <row r="60" spans="1:15" x14ac:dyDescent="0.25">
      <c r="A60" s="47" t="s">
        <v>158</v>
      </c>
      <c r="B60" s="53">
        <f>+Historicals!B185</f>
        <v>4.6962736089841757E-2</v>
      </c>
      <c r="C60" s="53">
        <f>+Historicals!C185</f>
        <v>4.778156996587031E-2</v>
      </c>
      <c r="D60" s="53">
        <f>+Historicals!D185</f>
        <v>0.11447184737087017</v>
      </c>
      <c r="E60" s="53">
        <f>+Historicals!E185</f>
        <v>0.22755741127348644</v>
      </c>
      <c r="F60" s="53">
        <f>+Historicals!F185</f>
        <v>0.05</v>
      </c>
      <c r="G60" s="53">
        <f>+Historicals!G185</f>
        <v>-1.101392938127632E-2</v>
      </c>
      <c r="H60" s="53">
        <f>+Historicals!H185</f>
        <v>0.30887651490337376</v>
      </c>
      <c r="I60" s="53">
        <f>+Historicals!I185</f>
        <v>0.13288288288288289</v>
      </c>
      <c r="J60" s="45">
        <v>0</v>
      </c>
      <c r="K60" s="45">
        <v>0</v>
      </c>
      <c r="L60" s="45">
        <v>0</v>
      </c>
      <c r="M60" s="45">
        <v>0</v>
      </c>
      <c r="N60" s="45">
        <v>0</v>
      </c>
    </row>
    <row r="61" spans="1:15" x14ac:dyDescent="0.25">
      <c r="A61" s="47" t="s">
        <v>160</v>
      </c>
      <c r="B61" t="str">
        <f>IFERROR(B59-B60,"nm")</f>
        <v>nm</v>
      </c>
      <c r="C61" s="45">
        <f t="shared" ref="C61:N61" si="44">C59-C60</f>
        <v>0</v>
      </c>
      <c r="D61" s="45">
        <f t="shared" si="44"/>
        <v>0</v>
      </c>
      <c r="E61" s="45">
        <f t="shared" si="44"/>
        <v>0</v>
      </c>
      <c r="F61" s="45">
        <f t="shared" si="44"/>
        <v>0</v>
      </c>
      <c r="G61" s="45">
        <f t="shared" si="44"/>
        <v>0</v>
      </c>
      <c r="H61" s="45">
        <f t="shared" si="44"/>
        <v>0</v>
      </c>
      <c r="I61" s="45">
        <f t="shared" si="44"/>
        <v>0</v>
      </c>
      <c r="J61" s="45">
        <f t="shared" si="44"/>
        <v>0.13288288288288297</v>
      </c>
      <c r="K61" s="45">
        <f t="shared" si="44"/>
        <v>0.13288288288288297</v>
      </c>
      <c r="L61" s="45">
        <f t="shared" si="44"/>
        <v>0.13288288288288297</v>
      </c>
      <c r="M61" s="45">
        <f t="shared" si="44"/>
        <v>0.13288288288288297</v>
      </c>
      <c r="N61" s="45">
        <f t="shared" si="44"/>
        <v>0.13288288288288319</v>
      </c>
    </row>
    <row r="62" spans="1:15" x14ac:dyDescent="0.25">
      <c r="A62" s="48" t="s">
        <v>118</v>
      </c>
      <c r="B62">
        <f>+Historicals!B114</f>
        <v>372</v>
      </c>
      <c r="C62">
        <f>+Historicals!C114</f>
        <v>376</v>
      </c>
      <c r="D62">
        <f>+Historicals!D114</f>
        <v>383</v>
      </c>
      <c r="E62">
        <f>+Historicals!E114</f>
        <v>427</v>
      </c>
      <c r="F62">
        <f>+Historicals!F114</f>
        <v>432</v>
      </c>
      <c r="G62">
        <f>+Historicals!G114</f>
        <v>402</v>
      </c>
      <c r="H62">
        <f>+Historicals!H114</f>
        <v>490</v>
      </c>
      <c r="I62">
        <f>+Historicals!I114</f>
        <v>564</v>
      </c>
      <c r="J62" s="54">
        <f>+I62*(1+I63)</f>
        <v>649.17551020408166</v>
      </c>
      <c r="K62" s="54">
        <f>+J62*(1+J63)</f>
        <v>747.21426072469808</v>
      </c>
      <c r="L62" s="54">
        <f>+K62*(1+K63)</f>
        <v>860.05886336475453</v>
      </c>
      <c r="M62" s="54">
        <f>+L62*(1+L63)</f>
        <v>989.94530395453387</v>
      </c>
      <c r="N62" s="54">
        <f>+M62*(1+M63)</f>
        <v>1139.4472478170553</v>
      </c>
    </row>
    <row r="63" spans="1:15" x14ac:dyDescent="0.25">
      <c r="A63" s="47" t="s">
        <v>144</v>
      </c>
      <c r="B63" t="str">
        <f>IFERROR(B62/A62-1,"nm")</f>
        <v>nm</v>
      </c>
      <c r="C63" s="45">
        <f t="shared" ref="C63:N63" si="45">C62/B62-1</f>
        <v>1.0752688172043001E-2</v>
      </c>
      <c r="D63" s="45">
        <f t="shared" si="45"/>
        <v>1.8617021276595702E-2</v>
      </c>
      <c r="E63" s="45">
        <f t="shared" si="45"/>
        <v>0.11488250652741505</v>
      </c>
      <c r="F63" s="45">
        <f t="shared" si="45"/>
        <v>1.1709601873536313E-2</v>
      </c>
      <c r="G63" s="45">
        <f t="shared" si="45"/>
        <v>-6.944444444444442E-2</v>
      </c>
      <c r="H63" s="45">
        <f t="shared" si="45"/>
        <v>0.21890547263681581</v>
      </c>
      <c r="I63" s="45">
        <f t="shared" si="45"/>
        <v>0.15102040816326534</v>
      </c>
      <c r="J63" s="45">
        <f t="shared" si="45"/>
        <v>0.15102040816326534</v>
      </c>
      <c r="K63" s="45">
        <f t="shared" si="45"/>
        <v>0.15102040816326534</v>
      </c>
      <c r="L63" s="45">
        <f t="shared" si="45"/>
        <v>0.15102040816326534</v>
      </c>
      <c r="M63" s="45">
        <f t="shared" si="45"/>
        <v>0.15102040816326534</v>
      </c>
      <c r="N63" s="45">
        <f t="shared" si="45"/>
        <v>0.15102040816326534</v>
      </c>
    </row>
    <row r="64" spans="1:15" x14ac:dyDescent="0.25">
      <c r="A64" s="47" t="s">
        <v>158</v>
      </c>
      <c r="B64" s="53">
        <f>+Historicals!B186</f>
        <v>7.8260869565217397E-2</v>
      </c>
      <c r="C64" s="53">
        <f>+Historicals!C186</f>
        <v>1.0752688172043012E-2</v>
      </c>
      <c r="D64" s="53">
        <f>+Historicals!D186</f>
        <v>1.8617021276595744E-2</v>
      </c>
      <c r="E64" s="53">
        <f>+Historicals!E186</f>
        <v>0.11488250652741515</v>
      </c>
      <c r="F64" s="53">
        <f>+Historicals!F186</f>
        <v>1.1709601873536301E-2</v>
      </c>
      <c r="G64" s="53">
        <f>+Historicals!G186</f>
        <v>-6.9444444444444448E-2</v>
      </c>
      <c r="H64" s="53">
        <f>+Historicals!H186</f>
        <v>0.21890547263681592</v>
      </c>
      <c r="I64" s="53">
        <f>+Historicals!I186</f>
        <v>0.15102040816326531</v>
      </c>
      <c r="J64" s="45">
        <v>0.03</v>
      </c>
      <c r="K64" s="45">
        <v>0.04</v>
      </c>
      <c r="L64" s="45">
        <v>0.05</v>
      </c>
      <c r="M64" s="45">
        <v>0.06</v>
      </c>
      <c r="N64" s="45">
        <v>7.0000000000000007E-2</v>
      </c>
    </row>
    <row r="65" spans="1:14" x14ac:dyDescent="0.25">
      <c r="A65" s="47" t="s">
        <v>160</v>
      </c>
      <c r="B65" t="str">
        <f>IFERROR(B63-B64,"nm")</f>
        <v>nm</v>
      </c>
      <c r="C65" s="45">
        <f t="shared" ref="C65:N65" si="46">C63-C64</f>
        <v>0</v>
      </c>
      <c r="D65" s="45">
        <f t="shared" si="46"/>
        <v>-4.163336342344337E-17</v>
      </c>
      <c r="E65" s="45">
        <f t="shared" si="46"/>
        <v>0</v>
      </c>
      <c r="F65" s="45">
        <f t="shared" si="46"/>
        <v>0</v>
      </c>
      <c r="G65" s="45">
        <f t="shared" si="46"/>
        <v>0</v>
      </c>
      <c r="H65" s="45">
        <f t="shared" si="46"/>
        <v>0</v>
      </c>
      <c r="I65" s="45">
        <f t="shared" si="46"/>
        <v>0</v>
      </c>
      <c r="J65" s="45">
        <f t="shared" si="46"/>
        <v>0.12102040816326534</v>
      </c>
      <c r="K65" s="45">
        <f t="shared" si="46"/>
        <v>0.11102040816326533</v>
      </c>
      <c r="L65" s="45">
        <f t="shared" si="46"/>
        <v>0.10102040816326534</v>
      </c>
      <c r="M65" s="45">
        <f t="shared" si="46"/>
        <v>9.1020408163265343E-2</v>
      </c>
      <c r="N65" s="45">
        <f t="shared" si="46"/>
        <v>8.1020408163265334E-2</v>
      </c>
    </row>
    <row r="66" spans="1:14" x14ac:dyDescent="0.25">
      <c r="A66" s="10" t="s">
        <v>145</v>
      </c>
      <c r="B66" s="3">
        <f t="shared" ref="B66:I66" si="47">B69+B73</f>
        <v>1611</v>
      </c>
      <c r="C66" s="3">
        <f t="shared" si="47"/>
        <v>1872</v>
      </c>
      <c r="D66" s="3">
        <f t="shared" si="47"/>
        <v>1613</v>
      </c>
      <c r="E66" s="3">
        <f t="shared" si="47"/>
        <v>1703</v>
      </c>
      <c r="F66" s="3">
        <f t="shared" si="47"/>
        <v>2106</v>
      </c>
      <c r="G66" s="3">
        <f t="shared" si="47"/>
        <v>1673</v>
      </c>
      <c r="H66" s="3">
        <f t="shared" si="47"/>
        <v>2571</v>
      </c>
      <c r="I66" s="3">
        <f t="shared" si="47"/>
        <v>3427</v>
      </c>
      <c r="J66" s="55">
        <f>+I66*(1+I67)</f>
        <v>4568.0003889537147</v>
      </c>
      <c r="K66" s="55">
        <f>+J66*(1+J67)</f>
        <v>4568.0003889537147</v>
      </c>
      <c r="L66" s="55">
        <f>+K66*(1+K67)</f>
        <v>4568.0003889537147</v>
      </c>
      <c r="M66" s="55">
        <f>+L66*(1+L67)</f>
        <v>4568.0003889537147</v>
      </c>
      <c r="N66" s="55">
        <f>+M66*(1+M67)</f>
        <v>4568.0003889537147</v>
      </c>
    </row>
    <row r="67" spans="1:14" x14ac:dyDescent="0.25">
      <c r="A67" s="42" t="s">
        <v>144</v>
      </c>
      <c r="B67" t="str">
        <f>IFERROR(B66/A66-1,"nm")</f>
        <v>nm</v>
      </c>
      <c r="C67" s="45">
        <f t="shared" ref="C67:I67" si="48">C66/B66-1</f>
        <v>0.16201117318435765</v>
      </c>
      <c r="D67" s="45">
        <f t="shared" si="48"/>
        <v>-0.13835470085470081</v>
      </c>
      <c r="E67" s="45">
        <f t="shared" si="48"/>
        <v>5.5796652200867936E-2</v>
      </c>
      <c r="F67" s="45">
        <f t="shared" si="48"/>
        <v>0.23664122137404586</v>
      </c>
      <c r="G67" s="45">
        <f t="shared" si="48"/>
        <v>-0.20560303893637222</v>
      </c>
      <c r="H67" s="45">
        <f t="shared" si="48"/>
        <v>0.53676031081888831</v>
      </c>
      <c r="I67" s="45">
        <f t="shared" si="48"/>
        <v>0.33294437961882539</v>
      </c>
      <c r="J67" s="45">
        <v>0</v>
      </c>
      <c r="K67" s="45">
        <f>K66/J66-1</f>
        <v>0</v>
      </c>
      <c r="L67" s="45">
        <f>L66/K66-1</f>
        <v>0</v>
      </c>
      <c r="M67" s="45">
        <f>M66/L66-1</f>
        <v>0</v>
      </c>
      <c r="N67" s="45">
        <f>N66/M66-1</f>
        <v>0</v>
      </c>
    </row>
    <row r="68" spans="1:14" x14ac:dyDescent="0.25">
      <c r="A68" s="42" t="s">
        <v>147</v>
      </c>
      <c r="B68" s="45">
        <f t="shared" ref="B68:N68" si="49">B66/B52</f>
        <v>0.22607353353915241</v>
      </c>
      <c r="C68" s="45">
        <f t="shared" si="49"/>
        <v>0.24735729386892177</v>
      </c>
      <c r="D68" s="45">
        <f t="shared" si="49"/>
        <v>0.20238393977415309</v>
      </c>
      <c r="E68" s="45">
        <f t="shared" si="49"/>
        <v>0.18426747457260334</v>
      </c>
      <c r="F68" s="45">
        <f t="shared" si="49"/>
        <v>0.21463514064410924</v>
      </c>
      <c r="G68" s="45">
        <f t="shared" si="49"/>
        <v>0.17898791055953783</v>
      </c>
      <c r="H68" s="45">
        <f t="shared" si="49"/>
        <v>0.22442388268156424</v>
      </c>
      <c r="I68" s="45">
        <f t="shared" si="49"/>
        <v>0.27462136389133746</v>
      </c>
      <c r="J68" s="45">
        <f t="shared" si="49"/>
        <v>0.3389398180761245</v>
      </c>
      <c r="K68" s="45">
        <f t="shared" si="49"/>
        <v>0.31383316488530044</v>
      </c>
      <c r="L68" s="45">
        <f t="shared" si="49"/>
        <v>0.29058626378268559</v>
      </c>
      <c r="M68" s="45">
        <f t="shared" si="49"/>
        <v>0.26906135535433851</v>
      </c>
      <c r="N68" s="45">
        <f t="shared" si="49"/>
        <v>0.24913088458735044</v>
      </c>
    </row>
    <row r="69" spans="1:14" x14ac:dyDescent="0.25">
      <c r="A69" s="10" t="s">
        <v>148</v>
      </c>
      <c r="B69" s="51">
        <f>+Historicals!B168</f>
        <v>87</v>
      </c>
      <c r="C69" s="51">
        <f>+Historicals!C168</f>
        <v>85</v>
      </c>
      <c r="D69" s="51">
        <f>+Historicals!D168</f>
        <v>106</v>
      </c>
      <c r="E69" s="51">
        <f>+Historicals!E168</f>
        <v>116</v>
      </c>
      <c r="F69" s="51">
        <f>+Historicals!F168</f>
        <v>111</v>
      </c>
      <c r="G69" s="51">
        <f>+Historicals!G168</f>
        <v>132</v>
      </c>
      <c r="H69" s="51">
        <f>+Historicals!H168</f>
        <v>136</v>
      </c>
      <c r="I69" s="51">
        <f>+Historicals!I168</f>
        <v>134</v>
      </c>
      <c r="J69" s="52">
        <f>+I69*(1+I70)</f>
        <v>132.02941176470588</v>
      </c>
      <c r="K69" s="52">
        <f>+J69*(1+J70)</f>
        <v>132.02941176470588</v>
      </c>
      <c r="L69" s="52">
        <f>+K69*(1+K70)</f>
        <v>132.02941176470588</v>
      </c>
      <c r="M69" s="52">
        <f>+L69*(1+L70)</f>
        <v>132.02941176470588</v>
      </c>
      <c r="N69" s="52">
        <f>+M69*(1+M70)</f>
        <v>132.02941176470588</v>
      </c>
    </row>
    <row r="70" spans="1:14" x14ac:dyDescent="0.25">
      <c r="A70" s="42" t="s">
        <v>144</v>
      </c>
      <c r="B70" t="str">
        <f>IFERROR(B69/A69-1,"nm")</f>
        <v>nm</v>
      </c>
      <c r="C70" s="45">
        <f t="shared" ref="C70:I70" si="50">C69/B69-1</f>
        <v>-2.2988505747126409E-2</v>
      </c>
      <c r="D70" s="45">
        <f t="shared" si="50"/>
        <v>0.24705882352941178</v>
      </c>
      <c r="E70" s="45">
        <f t="shared" si="50"/>
        <v>9.4339622641509413E-2</v>
      </c>
      <c r="F70" s="45">
        <f t="shared" si="50"/>
        <v>-4.31034482758621E-2</v>
      </c>
      <c r="G70" s="45">
        <f t="shared" si="50"/>
        <v>0.18918918918918926</v>
      </c>
      <c r="H70" s="45">
        <f t="shared" si="50"/>
        <v>3.0303030303030276E-2</v>
      </c>
      <c r="I70" s="45">
        <f t="shared" si="50"/>
        <v>-1.4705882352941124E-2</v>
      </c>
      <c r="J70" s="45">
        <v>0</v>
      </c>
      <c r="K70" s="45">
        <v>0</v>
      </c>
      <c r="L70" s="45">
        <v>0</v>
      </c>
      <c r="M70" s="45">
        <v>0</v>
      </c>
      <c r="N70" s="45">
        <v>0</v>
      </c>
    </row>
    <row r="71" spans="1:14" x14ac:dyDescent="0.25">
      <c r="A71" s="42" t="s">
        <v>150</v>
      </c>
      <c r="B71" s="45">
        <f t="shared" ref="B71:N71" si="51">B69/B52</f>
        <v>1.2208812798203761E-2</v>
      </c>
      <c r="C71" s="45">
        <f t="shared" si="51"/>
        <v>1.1231501057082453E-2</v>
      </c>
      <c r="D71" s="45">
        <f t="shared" si="51"/>
        <v>1.3299874529485571E-2</v>
      </c>
      <c r="E71" s="45">
        <f t="shared" si="51"/>
        <v>1.2551395801774508E-2</v>
      </c>
      <c r="F71" s="45">
        <f t="shared" si="51"/>
        <v>1.1312678353037097E-2</v>
      </c>
      <c r="G71" s="45">
        <f t="shared" si="51"/>
        <v>1.4122178239007167E-2</v>
      </c>
      <c r="H71" s="45">
        <f t="shared" si="51"/>
        <v>1.1871508379888268E-2</v>
      </c>
      <c r="I71" s="45">
        <f t="shared" si="51"/>
        <v>1.0738039907043834E-2</v>
      </c>
      <c r="J71" s="45">
        <f t="shared" si="51"/>
        <v>9.7964144032126471E-3</v>
      </c>
      <c r="K71" s="45">
        <f t="shared" si="51"/>
        <v>9.0707540770487462E-3</v>
      </c>
      <c r="L71" s="45">
        <f t="shared" si="51"/>
        <v>8.3988463676377273E-3</v>
      </c>
      <c r="M71" s="45">
        <f t="shared" si="51"/>
        <v>7.7767095996645634E-3</v>
      </c>
      <c r="N71" s="45">
        <f t="shared" si="51"/>
        <v>7.2006570367264466E-3</v>
      </c>
    </row>
    <row r="72" spans="1:14" x14ac:dyDescent="0.25">
      <c r="A72" s="42" t="s">
        <v>162</v>
      </c>
      <c r="B72" s="45">
        <f t="shared" ref="B72:N72" si="52">B69/B79</f>
        <v>0.1746987951807229</v>
      </c>
      <c r="C72" s="45">
        <f t="shared" si="52"/>
        <v>0.13302034428794993</v>
      </c>
      <c r="D72" s="45">
        <f t="shared" si="52"/>
        <v>0.14950634696755993</v>
      </c>
      <c r="E72" s="45">
        <f t="shared" si="52"/>
        <v>0.13663133097762073</v>
      </c>
      <c r="F72" s="45">
        <f t="shared" si="52"/>
        <v>0.11948331539289558</v>
      </c>
      <c r="G72" s="45">
        <f t="shared" si="52"/>
        <v>0.14915254237288136</v>
      </c>
      <c r="H72" s="45">
        <f t="shared" si="52"/>
        <v>0.1384928716904277</v>
      </c>
      <c r="I72" s="45">
        <f t="shared" si="52"/>
        <v>0.14565217391304347</v>
      </c>
      <c r="J72" s="45">
        <f t="shared" si="52"/>
        <v>0.15318157177804961</v>
      </c>
      <c r="K72" s="45">
        <f t="shared" si="52"/>
        <v>0.16350467770222252</v>
      </c>
      <c r="L72" s="45">
        <f t="shared" si="52"/>
        <v>0.1745234711995462</v>
      </c>
      <c r="M72" s="45">
        <f t="shared" si="52"/>
        <v>0.18628483556299388</v>
      </c>
      <c r="N72" s="45">
        <f t="shared" si="52"/>
        <v>0.19883881361180436</v>
      </c>
    </row>
    <row r="73" spans="1:14" x14ac:dyDescent="0.25">
      <c r="A73" s="10" t="s">
        <v>151</v>
      </c>
      <c r="B73" s="51">
        <f>+Historicals!B135</f>
        <v>1524</v>
      </c>
      <c r="C73" s="51">
        <f>+Historicals!C135</f>
        <v>1787</v>
      </c>
      <c r="D73" s="51">
        <f>+Historicals!D135</f>
        <v>1507</v>
      </c>
      <c r="E73" s="51">
        <f>+Historicals!E135</f>
        <v>1587</v>
      </c>
      <c r="F73" s="51">
        <f>+Historicals!F135</f>
        <v>1995</v>
      </c>
      <c r="G73" s="51">
        <f>+Historicals!G135</f>
        <v>1541</v>
      </c>
      <c r="H73" s="51">
        <f>+Historicals!H135</f>
        <v>2435</v>
      </c>
      <c r="I73" s="51">
        <f>+Historicals!I135</f>
        <v>3293</v>
      </c>
      <c r="J73" s="44">
        <f>+I73*(1+I74)</f>
        <v>4453.3260780287474</v>
      </c>
      <c r="K73" s="44">
        <f>+J73*(1+J74)</f>
        <v>4453.3260780287474</v>
      </c>
      <c r="L73" s="44">
        <f>+K73*(1+K74)</f>
        <v>4497.8593388090349</v>
      </c>
      <c r="M73" s="44">
        <f>+L73*(1+L74)</f>
        <v>4587.8165255852155</v>
      </c>
      <c r="N73" s="44">
        <f>+M73*(1+M74)</f>
        <v>4725.4510213527719</v>
      </c>
    </row>
    <row r="74" spans="1:14" x14ac:dyDescent="0.25">
      <c r="A74" s="42" t="s">
        <v>144</v>
      </c>
      <c r="B74" t="str">
        <f>IFERROR(B73/A73-1,"nm")</f>
        <v>nm</v>
      </c>
      <c r="C74" s="45">
        <f t="shared" ref="C74:I74" si="53">C73/B73-1</f>
        <v>0.17257217847769035</v>
      </c>
      <c r="D74" s="45">
        <f t="shared" si="53"/>
        <v>-0.15668718522663683</v>
      </c>
      <c r="E74" s="45">
        <f t="shared" si="53"/>
        <v>5.3085600530855981E-2</v>
      </c>
      <c r="F74" s="45">
        <f t="shared" si="53"/>
        <v>0.25708884688090738</v>
      </c>
      <c r="G74" s="45">
        <f t="shared" si="53"/>
        <v>-0.22756892230576442</v>
      </c>
      <c r="H74" s="45">
        <f t="shared" si="53"/>
        <v>0.58014276443867629</v>
      </c>
      <c r="I74" s="45">
        <f t="shared" si="53"/>
        <v>0.3523613963039014</v>
      </c>
      <c r="J74" s="45">
        <v>0</v>
      </c>
      <c r="K74" s="45">
        <v>0.01</v>
      </c>
      <c r="L74" s="45">
        <v>0.02</v>
      </c>
      <c r="M74" s="45">
        <v>0.03</v>
      </c>
      <c r="N74" s="45">
        <v>0.04</v>
      </c>
    </row>
    <row r="75" spans="1:14" x14ac:dyDescent="0.25">
      <c r="A75" s="42" t="s">
        <v>147</v>
      </c>
      <c r="B75" s="45">
        <f t="shared" ref="B75:N75" si="54">B73/B52</f>
        <v>0.21386472074094864</v>
      </c>
      <c r="C75" s="45">
        <f t="shared" si="54"/>
        <v>0.23612579281183932</v>
      </c>
      <c r="D75" s="45">
        <f t="shared" si="54"/>
        <v>0.1890840652446675</v>
      </c>
      <c r="E75" s="45">
        <f t="shared" si="54"/>
        <v>0.17171607877082881</v>
      </c>
      <c r="F75" s="45">
        <f t="shared" si="54"/>
        <v>0.20332246229107215</v>
      </c>
      <c r="G75" s="45">
        <f t="shared" si="54"/>
        <v>0.16486573232053064</v>
      </c>
      <c r="H75" s="45">
        <f t="shared" si="54"/>
        <v>0.21255237430167598</v>
      </c>
      <c r="I75" s="45">
        <f t="shared" si="54"/>
        <v>0.26388332398429359</v>
      </c>
      <c r="J75" s="45">
        <f t="shared" si="54"/>
        <v>0.33043113007843894</v>
      </c>
      <c r="K75" s="45">
        <f t="shared" si="54"/>
        <v>0.30595475007262862</v>
      </c>
      <c r="L75" s="45">
        <f t="shared" si="54"/>
        <v>0.28612434960495825</v>
      </c>
      <c r="M75" s="45">
        <f t="shared" si="54"/>
        <v>0.2702285524046828</v>
      </c>
      <c r="N75" s="45">
        <f t="shared" si="54"/>
        <v>0.25771797127483637</v>
      </c>
    </row>
    <row r="76" spans="1:14" x14ac:dyDescent="0.25">
      <c r="A76" s="10" t="s">
        <v>153</v>
      </c>
      <c r="B76" s="51">
        <v>236</v>
      </c>
      <c r="C76" s="51">
        <v>234</v>
      </c>
      <c r="D76" s="51">
        <v>173</v>
      </c>
      <c r="E76" s="51">
        <v>240</v>
      </c>
      <c r="F76" s="51">
        <v>233</v>
      </c>
      <c r="G76" s="51">
        <v>139</v>
      </c>
      <c r="H76" s="51">
        <v>153</v>
      </c>
      <c r="I76" s="51">
        <v>197</v>
      </c>
      <c r="J76" s="44">
        <f>+I76*(1+I77)</f>
        <v>253.65359477124184</v>
      </c>
      <c r="K76" s="44">
        <f>+J76*(1+J77)</f>
        <v>326.59972660088005</v>
      </c>
      <c r="L76" s="44">
        <f>+K76*(1+K77)</f>
        <v>420.52383098283252</v>
      </c>
      <c r="M76" s="44">
        <f>+L76*(1+L77)</f>
        <v>541.45878891253608</v>
      </c>
      <c r="N76" s="44">
        <f>+M76*(1+M77)</f>
        <v>697.17242755404993</v>
      </c>
    </row>
    <row r="77" spans="1:14" x14ac:dyDescent="0.25">
      <c r="A77" s="42" t="s">
        <v>144</v>
      </c>
      <c r="B77" t="str">
        <f>IFERROR(B76/A76-1,"nm")</f>
        <v>nm</v>
      </c>
      <c r="C77" s="45">
        <f t="shared" ref="C77:N77" si="55">C76/B76-1</f>
        <v>-8.4745762711864181E-3</v>
      </c>
      <c r="D77" s="45">
        <f t="shared" si="55"/>
        <v>-0.26068376068376065</v>
      </c>
      <c r="E77" s="45">
        <f t="shared" si="55"/>
        <v>0.38728323699421963</v>
      </c>
      <c r="F77" s="45">
        <f t="shared" si="55"/>
        <v>-2.9166666666666674E-2</v>
      </c>
      <c r="G77" s="45">
        <f t="shared" si="55"/>
        <v>-0.40343347639484983</v>
      </c>
      <c r="H77" s="45">
        <f t="shared" si="55"/>
        <v>0.10071942446043169</v>
      </c>
      <c r="I77" s="45">
        <f t="shared" si="55"/>
        <v>0.28758169934640532</v>
      </c>
      <c r="J77" s="45">
        <f t="shared" si="55"/>
        <v>0.28758169934640532</v>
      </c>
      <c r="K77" s="45">
        <f t="shared" si="55"/>
        <v>0.28758169934640532</v>
      </c>
      <c r="L77" s="45">
        <f t="shared" si="55"/>
        <v>0.28758169934640532</v>
      </c>
      <c r="M77" s="45">
        <f t="shared" si="55"/>
        <v>0.28758169934640554</v>
      </c>
      <c r="N77" s="45">
        <f t="shared" si="55"/>
        <v>0.28758169934640554</v>
      </c>
    </row>
    <row r="78" spans="1:14" x14ac:dyDescent="0.25">
      <c r="A78" s="42" t="s">
        <v>150</v>
      </c>
      <c r="B78" s="45">
        <f t="shared" ref="B78:N78" si="56">B76/B52</f>
        <v>3.3118158854897557E-2</v>
      </c>
      <c r="C78" s="45">
        <f t="shared" si="56"/>
        <v>3.0919661733615222E-2</v>
      </c>
      <c r="D78" s="45">
        <f t="shared" si="56"/>
        <v>2.1706398996235884E-2</v>
      </c>
      <c r="E78" s="45">
        <f t="shared" si="56"/>
        <v>2.5968405107119671E-2</v>
      </c>
      <c r="F78" s="45">
        <f t="shared" si="56"/>
        <v>2.3746432939258051E-2</v>
      </c>
      <c r="G78" s="45">
        <f t="shared" si="56"/>
        <v>1.4871081630469669E-2</v>
      </c>
      <c r="H78" s="45">
        <f t="shared" si="56"/>
        <v>1.3355446927374302E-2</v>
      </c>
      <c r="I78" s="45">
        <f t="shared" si="56"/>
        <v>1.5786521355877874E-2</v>
      </c>
      <c r="J78" s="45">
        <f t="shared" si="56"/>
        <v>1.8820774068675508E-2</v>
      </c>
      <c r="K78" s="45">
        <f t="shared" si="56"/>
        <v>2.2438226165148119E-2</v>
      </c>
      <c r="L78" s="45">
        <f t="shared" si="56"/>
        <v>2.6750971644481845E-2</v>
      </c>
      <c r="M78" s="45">
        <f t="shared" si="56"/>
        <v>3.1892649564045777E-2</v>
      </c>
      <c r="N78" s="45">
        <f t="shared" si="56"/>
        <v>3.8022585113271723E-2</v>
      </c>
    </row>
    <row r="79" spans="1:14" x14ac:dyDescent="0.25">
      <c r="A79" s="10" t="s">
        <v>155</v>
      </c>
      <c r="B79" s="51">
        <f>+Historicals!B146</f>
        <v>498</v>
      </c>
      <c r="C79" s="51">
        <f>+Historicals!C146</f>
        <v>639</v>
      </c>
      <c r="D79" s="51">
        <f>+Historicals!D146</f>
        <v>709</v>
      </c>
      <c r="E79" s="51">
        <f>+Historicals!E146</f>
        <v>849</v>
      </c>
      <c r="F79" s="51">
        <f>+Historicals!F146</f>
        <v>929</v>
      </c>
      <c r="G79" s="51">
        <f>+Historicals!G146</f>
        <v>885</v>
      </c>
      <c r="H79" s="51">
        <f>+Historicals!H146</f>
        <v>982</v>
      </c>
      <c r="I79" s="51">
        <f>+Historicals!I146</f>
        <v>920</v>
      </c>
      <c r="J79" s="44">
        <f>+I79*(1+I80)</f>
        <v>861.91446028513235</v>
      </c>
      <c r="K79" s="44">
        <f>+J79*(1+J80)</f>
        <v>807.49623570501194</v>
      </c>
      <c r="L79" s="44">
        <f>+K79*(1+K80)</f>
        <v>756.51378497821895</v>
      </c>
      <c r="M79" s="44">
        <f>+L79*(1+L80)</f>
        <v>708.75018551930896</v>
      </c>
      <c r="N79" s="44">
        <f>+M79*(1+M80)</f>
        <v>664.00221046615502</v>
      </c>
    </row>
    <row r="80" spans="1:14" x14ac:dyDescent="0.25">
      <c r="A80" s="42" t="s">
        <v>144</v>
      </c>
      <c r="B80" t="str">
        <f>IFERROR(B79/A79-1,"nm")</f>
        <v>nm</v>
      </c>
      <c r="C80" s="45">
        <f t="shared" ref="C80:N80" si="57">C79/B79-1</f>
        <v>0.2831325301204819</v>
      </c>
      <c r="D80" s="45">
        <f t="shared" si="57"/>
        <v>0.10954616588419408</v>
      </c>
      <c r="E80" s="45">
        <f t="shared" si="57"/>
        <v>0.19746121297602248</v>
      </c>
      <c r="F80" s="45">
        <f t="shared" si="57"/>
        <v>9.4228504122497059E-2</v>
      </c>
      <c r="G80" s="45">
        <f t="shared" si="57"/>
        <v>-4.7362755651237931E-2</v>
      </c>
      <c r="H80" s="45">
        <f t="shared" si="57"/>
        <v>0.1096045197740112</v>
      </c>
      <c r="I80" s="45">
        <f t="shared" si="57"/>
        <v>-6.313645621181263E-2</v>
      </c>
      <c r="J80" s="45">
        <f t="shared" si="57"/>
        <v>-6.313645621181263E-2</v>
      </c>
      <c r="K80" s="45">
        <f t="shared" si="57"/>
        <v>-6.313645621181263E-2</v>
      </c>
      <c r="L80" s="45">
        <f t="shared" si="57"/>
        <v>-6.313645621181263E-2</v>
      </c>
      <c r="M80" s="45">
        <f t="shared" si="57"/>
        <v>-6.313645621181263E-2</v>
      </c>
      <c r="N80" s="45">
        <f t="shared" si="57"/>
        <v>-6.313645621181263E-2</v>
      </c>
    </row>
    <row r="81" spans="1:15" x14ac:dyDescent="0.25">
      <c r="A81" s="42" t="s">
        <v>150</v>
      </c>
      <c r="B81" s="45">
        <f t="shared" ref="B81:N81" si="58">B79/B52</f>
        <v>6.9884928431097393E-2</v>
      </c>
      <c r="C81" s="45">
        <f t="shared" si="58"/>
        <v>8.4434460887949259E-2</v>
      </c>
      <c r="D81" s="45">
        <f t="shared" si="58"/>
        <v>8.8958594730238399E-2</v>
      </c>
      <c r="E81" s="45">
        <f t="shared" si="58"/>
        <v>9.1863233066435832E-2</v>
      </c>
      <c r="F81" s="45">
        <f t="shared" si="58"/>
        <v>9.4679983693436609E-2</v>
      </c>
      <c r="G81" s="45">
        <f t="shared" si="58"/>
        <v>9.4682785920616241E-2</v>
      </c>
      <c r="H81" s="45">
        <f t="shared" si="58"/>
        <v>8.5719273743016758E-2</v>
      </c>
      <c r="I81" s="45">
        <f t="shared" si="58"/>
        <v>7.37238560782114E-2</v>
      </c>
      <c r="J81" s="45">
        <f t="shared" si="58"/>
        <v>6.3952956543669823E-2</v>
      </c>
      <c r="K81" s="45">
        <f t="shared" si="58"/>
        <v>5.5477031021513384E-2</v>
      </c>
      <c r="L81" s="45">
        <f t="shared" si="58"/>
        <v>4.8124451742279847E-2</v>
      </c>
      <c r="M81" s="45">
        <f t="shared" si="58"/>
        <v>4.1746337409385097E-2</v>
      </c>
      <c r="N81" s="45">
        <f t="shared" si="58"/>
        <v>3.6213538523642494E-2</v>
      </c>
    </row>
    <row r="82" spans="1:15" x14ac:dyDescent="0.25">
      <c r="A82" s="46" t="s">
        <v>124</v>
      </c>
      <c r="B82" s="46"/>
      <c r="C82" s="46"/>
      <c r="D82" s="46"/>
      <c r="E82" s="46"/>
      <c r="F82" s="46"/>
      <c r="G82" s="46"/>
      <c r="H82" s="46"/>
      <c r="I82" s="46"/>
      <c r="J82" s="39"/>
      <c r="K82" s="39"/>
      <c r="L82" s="39"/>
      <c r="M82" s="39"/>
      <c r="N82" s="39"/>
    </row>
    <row r="83" spans="1:15" x14ac:dyDescent="0.25">
      <c r="A83" s="10" t="s">
        <v>157</v>
      </c>
      <c r="B83" s="51">
        <f>+Historicals!B125</f>
        <v>1982</v>
      </c>
      <c r="C83" s="51">
        <f>+Historicals!C125</f>
        <v>1955</v>
      </c>
      <c r="D83" s="51">
        <f>+Historicals!D125</f>
        <v>2042</v>
      </c>
      <c r="E83" s="51">
        <f>+Historicals!E125</f>
        <v>1886</v>
      </c>
      <c r="F83" s="51">
        <f>+Historicals!F125</f>
        <v>1906</v>
      </c>
      <c r="G83" s="51">
        <f>+Historicals!G125</f>
        <v>1846</v>
      </c>
      <c r="H83" s="51">
        <f>+Historicals!H125</f>
        <v>2205</v>
      </c>
      <c r="I83" s="51">
        <f>+Historicals!I125</f>
        <v>2346</v>
      </c>
      <c r="J83" s="52">
        <f>+I83*(1.04)</f>
        <v>2439.84</v>
      </c>
      <c r="K83" s="52">
        <f>+J83*(1.04)</f>
        <v>2537.4336000000003</v>
      </c>
      <c r="L83" s="52">
        <f>+K83*(1.04)</f>
        <v>2638.9309440000002</v>
      </c>
      <c r="M83" s="52">
        <f>+L83*(1.04)</f>
        <v>2744.4881817600003</v>
      </c>
      <c r="N83" s="52">
        <f>+M83*(1.04)</f>
        <v>2854.2677090304005</v>
      </c>
    </row>
    <row r="84" spans="1:15" x14ac:dyDescent="0.25">
      <c r="A84" s="47" t="s">
        <v>144</v>
      </c>
      <c r="B84" s="53">
        <f>+Historicals!B197</f>
        <v>0.17695961995249407</v>
      </c>
      <c r="C84" s="53">
        <f>+Historicals!C197</f>
        <v>-1.3622603430877902E-2</v>
      </c>
      <c r="D84" s="53">
        <f>+Historicals!D197</f>
        <v>4.4501278772378514E-2</v>
      </c>
      <c r="E84" s="53">
        <f>+Historicals!E197</f>
        <v>-7.6395690499510283E-2</v>
      </c>
      <c r="F84" s="53">
        <f>+Historicals!F197</f>
        <v>1.0604453870625663E-2</v>
      </c>
      <c r="G84" s="53">
        <f>+Historicals!G197</f>
        <v>-3.1479538300104928E-2</v>
      </c>
      <c r="H84" s="53">
        <f>+Historicals!H197</f>
        <v>0.19447453954496208</v>
      </c>
      <c r="I84" s="53">
        <f>+Historicals!I197</f>
        <v>6.3945578231292516E-2</v>
      </c>
      <c r="J84" s="45">
        <f>J83/I83-1</f>
        <v>4.0000000000000036E-2</v>
      </c>
      <c r="K84" s="45">
        <f>K83/J83-1</f>
        <v>4.0000000000000036E-2</v>
      </c>
      <c r="L84" s="45">
        <f>L83/K83-1</f>
        <v>4.0000000000000036E-2</v>
      </c>
      <c r="M84" s="45">
        <f>M83/L83-1</f>
        <v>4.0000000000000036E-2</v>
      </c>
      <c r="N84" s="45">
        <f>N83/M83-1</f>
        <v>4.0000000000000036E-2</v>
      </c>
    </row>
    <row r="85" spans="1:15" x14ac:dyDescent="0.25">
      <c r="A85" s="48" t="s">
        <v>116</v>
      </c>
      <c r="B85" s="56">
        <f>+Historicals!B126</f>
        <v>18318</v>
      </c>
      <c r="C85" s="56">
        <f>+Historicals!C126</f>
        <v>19871</v>
      </c>
      <c r="D85" s="56">
        <f>+Historicals!D126</f>
        <v>21081</v>
      </c>
      <c r="E85" s="56">
        <f>+Historicals!E126</f>
        <v>22268</v>
      </c>
      <c r="F85" s="56">
        <f>+Historicals!F126</f>
        <v>25880</v>
      </c>
      <c r="G85" s="56">
        <f>+Historicals!G126</f>
        <v>24947</v>
      </c>
      <c r="H85" s="56">
        <f>+Historicals!H126</f>
        <v>1986</v>
      </c>
      <c r="I85" s="56">
        <f>+Historicals!I126</f>
        <v>2094</v>
      </c>
      <c r="J85" s="54">
        <f>+I85*(1+I86)</f>
        <v>2207.8731117824773</v>
      </c>
      <c r="K85" s="54">
        <f>+J85*(1+J86)</f>
        <v>2327.9387190697421</v>
      </c>
      <c r="L85" s="54">
        <f>+K85*(1+K86)</f>
        <v>2454.5335738832023</v>
      </c>
      <c r="M85" s="54">
        <f>+L85*(1+L86)</f>
        <v>2588.0127410430136</v>
      </c>
      <c r="N85" s="54">
        <f>+M85*(1+M86)</f>
        <v>2728.7505940302472</v>
      </c>
    </row>
    <row r="86" spans="1:15" x14ac:dyDescent="0.25">
      <c r="A86" s="47" t="s">
        <v>144</v>
      </c>
      <c r="B86" t="str">
        <f>IFERROR(B85/A85-1,"nm")</f>
        <v>nm</v>
      </c>
      <c r="C86" s="45">
        <f t="shared" ref="C86:N86" si="59">C85/B85-1</f>
        <v>8.4779997816355479E-2</v>
      </c>
      <c r="D86" s="45">
        <f t="shared" si="59"/>
        <v>6.0892758290976845E-2</v>
      </c>
      <c r="E86" s="45">
        <f t="shared" si="59"/>
        <v>5.6306626820359584E-2</v>
      </c>
      <c r="F86" s="45">
        <f t="shared" si="59"/>
        <v>0.16220585593677028</v>
      </c>
      <c r="G86" s="45">
        <f t="shared" si="59"/>
        <v>-3.6051004636785122E-2</v>
      </c>
      <c r="H86" s="45">
        <f t="shared" si="59"/>
        <v>-0.92039122940634144</v>
      </c>
      <c r="I86" s="45">
        <f t="shared" si="59"/>
        <v>5.4380664652567967E-2</v>
      </c>
      <c r="J86" s="45">
        <f t="shared" si="59"/>
        <v>5.4380664652567967E-2</v>
      </c>
      <c r="K86" s="45">
        <f t="shared" si="59"/>
        <v>5.4380664652567967E-2</v>
      </c>
      <c r="L86" s="45">
        <f t="shared" si="59"/>
        <v>5.4380664652567967E-2</v>
      </c>
      <c r="M86" s="45">
        <f t="shared" si="59"/>
        <v>5.4380664652567967E-2</v>
      </c>
      <c r="N86" s="45">
        <f t="shared" si="59"/>
        <v>5.4380664652567967E-2</v>
      </c>
    </row>
    <row r="87" spans="1:15" x14ac:dyDescent="0.25">
      <c r="A87" s="47" t="s">
        <v>158</v>
      </c>
      <c r="B87" s="53">
        <f>+Historicals!B198</f>
        <v>0.13018262586377097</v>
      </c>
      <c r="C87" s="53">
        <f>+Historicals!C198</f>
        <v>8.4779997816355493E-2</v>
      </c>
      <c r="D87" s="53">
        <f>+Historicals!D198</f>
        <v>6.0892758290976803E-2</v>
      </c>
      <c r="E87" s="53">
        <f>+Historicals!E198</f>
        <v>5.6306626820359564E-2</v>
      </c>
      <c r="F87" s="53">
        <f>+Historicals!F198</f>
        <v>0.16220585593677025</v>
      </c>
      <c r="G87" s="53">
        <f>+Historicals!G198</f>
        <v>-3.6051004636785164E-2</v>
      </c>
      <c r="H87" s="53">
        <f>+Historicals!H198</f>
        <v>-0.92039122940634144</v>
      </c>
      <c r="I87" s="53">
        <f>+Historicals!I198</f>
        <v>5.4380664652567974E-2</v>
      </c>
      <c r="J87" s="45">
        <v>0.04</v>
      </c>
      <c r="K87" s="45">
        <v>0.05</v>
      </c>
      <c r="L87" s="45">
        <v>0.06</v>
      </c>
      <c r="M87" s="45">
        <v>7.0000000000000007E-2</v>
      </c>
      <c r="N87" s="45">
        <v>0.08</v>
      </c>
      <c r="O87" t="s">
        <v>164</v>
      </c>
    </row>
    <row r="88" spans="1:15" x14ac:dyDescent="0.25">
      <c r="A88" s="47" t="s">
        <v>160</v>
      </c>
      <c r="B88" t="str">
        <f>IFERROR(B86-B87,"nm")</f>
        <v>nm</v>
      </c>
      <c r="C88" s="45">
        <f t="shared" ref="C88:N88" si="60">C86-C87</f>
        <v>0</v>
      </c>
      <c r="D88" s="45">
        <f t="shared" si="60"/>
        <v>0</v>
      </c>
      <c r="E88" s="45">
        <f t="shared" si="60"/>
        <v>0</v>
      </c>
      <c r="F88" s="45">
        <f t="shared" si="60"/>
        <v>0</v>
      </c>
      <c r="G88" s="45">
        <f t="shared" si="60"/>
        <v>0</v>
      </c>
      <c r="H88" s="45">
        <f t="shared" si="60"/>
        <v>0</v>
      </c>
      <c r="I88" s="45">
        <f t="shared" si="60"/>
        <v>0</v>
      </c>
      <c r="J88" s="45">
        <f t="shared" si="60"/>
        <v>1.4380664652567966E-2</v>
      </c>
      <c r="K88" s="45">
        <f t="shared" si="60"/>
        <v>4.3806646525679643E-3</v>
      </c>
      <c r="L88" s="45">
        <f t="shared" si="60"/>
        <v>-5.6193353474320307E-3</v>
      </c>
      <c r="M88" s="45">
        <f t="shared" si="60"/>
        <v>-1.561933534743204E-2</v>
      </c>
      <c r="N88" s="45">
        <f t="shared" si="60"/>
        <v>-2.5619335347432035E-2</v>
      </c>
    </row>
    <row r="89" spans="1:15" x14ac:dyDescent="0.25">
      <c r="A89" s="48" t="s">
        <v>117</v>
      </c>
      <c r="B89" s="56">
        <f>+Historicals!B127</f>
        <v>8637</v>
      </c>
      <c r="C89" s="56">
        <f>+Historicals!C127</f>
        <v>9067</v>
      </c>
      <c r="D89" s="56">
        <f>+Historicals!D127</f>
        <v>9654</v>
      </c>
      <c r="E89" s="56">
        <f>+Historicals!E127</f>
        <v>10733</v>
      </c>
      <c r="F89" s="56">
        <f>+Historicals!F127</f>
        <v>11668</v>
      </c>
      <c r="G89" s="56">
        <f>+Historicals!G127</f>
        <v>11042</v>
      </c>
      <c r="H89" s="56">
        <f>+Historicals!H127</f>
        <v>104</v>
      </c>
      <c r="I89" s="56">
        <f>+Historicals!I127</f>
        <v>103</v>
      </c>
      <c r="J89" s="57">
        <f>+I89*(1+I90)</f>
        <v>102.00961538461539</v>
      </c>
      <c r="K89" s="57">
        <f>+J89*(1+J90)</f>
        <v>101.02875369822486</v>
      </c>
      <c r="L89" s="57">
        <f>+K89*(1+K90)</f>
        <v>100.05732337420348</v>
      </c>
      <c r="M89" s="57">
        <f>+L89*(1+L90)</f>
        <v>99.095233726374616</v>
      </c>
      <c r="N89" s="57">
        <f>+M89*(1+M90)</f>
        <v>98.142394940544108</v>
      </c>
    </row>
    <row r="90" spans="1:15" x14ac:dyDescent="0.25">
      <c r="A90" s="47" t="s">
        <v>144</v>
      </c>
      <c r="B90" t="str">
        <f>IFERROR(B89/A89-1,"nm")</f>
        <v>nm</v>
      </c>
      <c r="C90" s="45">
        <f t="shared" ref="C90:N90" si="61">C89/B89-1</f>
        <v>4.9785805256454818E-2</v>
      </c>
      <c r="D90" s="45">
        <f t="shared" si="61"/>
        <v>6.4740266901952115E-2</v>
      </c>
      <c r="E90" s="45">
        <f t="shared" si="61"/>
        <v>0.1117671431530971</v>
      </c>
      <c r="F90" s="45">
        <f t="shared" si="61"/>
        <v>8.7114506661697622E-2</v>
      </c>
      <c r="G90" s="45">
        <f t="shared" si="61"/>
        <v>-5.3651011312992769E-2</v>
      </c>
      <c r="H90" s="45">
        <f t="shared" si="61"/>
        <v>-0.99058141641007069</v>
      </c>
      <c r="I90" s="45">
        <f t="shared" si="61"/>
        <v>-9.6153846153845812E-3</v>
      </c>
      <c r="J90" s="45">
        <f t="shared" si="61"/>
        <v>-9.6153846153845812E-3</v>
      </c>
      <c r="K90" s="45">
        <f t="shared" si="61"/>
        <v>-9.6153846153845812E-3</v>
      </c>
      <c r="L90" s="45">
        <f t="shared" si="61"/>
        <v>-9.6153846153844702E-3</v>
      </c>
      <c r="M90" s="45">
        <f t="shared" si="61"/>
        <v>-9.6153846153844702E-3</v>
      </c>
      <c r="N90" s="45">
        <f t="shared" si="61"/>
        <v>-9.6153846153844702E-3</v>
      </c>
    </row>
    <row r="91" spans="1:15" x14ac:dyDescent="0.25">
      <c r="A91" s="47" t="s">
        <v>158</v>
      </c>
      <c r="B91" s="45">
        <f>+Historicals!B199</f>
        <v>6.5112837587865333E-2</v>
      </c>
      <c r="C91" s="45">
        <f>+Historicals!C199</f>
        <v>4.978580525645479E-2</v>
      </c>
      <c r="D91" s="45">
        <f>+Historicals!D199</f>
        <v>6.4740266901952129E-2</v>
      </c>
      <c r="E91" s="45">
        <f>+Historicals!E199</f>
        <v>0.11176714315309716</v>
      </c>
      <c r="F91" s="45">
        <f>+Historicals!F199</f>
        <v>8.7114506661697566E-2</v>
      </c>
      <c r="G91" s="45">
        <f>+Historicals!G199</f>
        <v>-5.3651011312992804E-2</v>
      </c>
      <c r="H91" s="45">
        <f>+Historicals!H199</f>
        <v>-0.99058141641007069</v>
      </c>
      <c r="I91" s="45">
        <f>+Historicals!I199</f>
        <v>-9.6153846153846159E-3</v>
      </c>
      <c r="J91" s="45">
        <v>-0.04</v>
      </c>
      <c r="K91" s="45">
        <v>-0.03</v>
      </c>
      <c r="L91" s="45">
        <v>-0.02</v>
      </c>
      <c r="M91" s="45">
        <v>-0.01</v>
      </c>
      <c r="N91" s="45">
        <v>0</v>
      </c>
      <c r="O91" t="s">
        <v>165</v>
      </c>
    </row>
    <row r="92" spans="1:15" x14ac:dyDescent="0.25">
      <c r="A92" s="47" t="s">
        <v>160</v>
      </c>
      <c r="B92" t="str">
        <f>IFERROR(B90-B91,"nm")</f>
        <v>nm</v>
      </c>
      <c r="C92" s="45">
        <f t="shared" ref="C92:N92" si="62">C90-C91</f>
        <v>0</v>
      </c>
      <c r="D92" s="45">
        <f t="shared" si="62"/>
        <v>0</v>
      </c>
      <c r="E92" s="45">
        <f t="shared" si="62"/>
        <v>0</v>
      </c>
      <c r="F92" s="45">
        <f t="shared" si="62"/>
        <v>0</v>
      </c>
      <c r="G92" s="45">
        <f t="shared" si="62"/>
        <v>0</v>
      </c>
      <c r="H92" s="45">
        <f t="shared" si="62"/>
        <v>0</v>
      </c>
      <c r="I92" s="45">
        <f t="shared" si="62"/>
        <v>3.4694469519536142E-17</v>
      </c>
      <c r="J92" s="45">
        <f t="shared" si="62"/>
        <v>3.038461538461542E-2</v>
      </c>
      <c r="K92" s="45">
        <f t="shared" si="62"/>
        <v>2.0384615384615418E-2</v>
      </c>
      <c r="L92" s="45">
        <f t="shared" si="62"/>
        <v>1.038461538461553E-2</v>
      </c>
      <c r="M92" s="45">
        <f t="shared" si="62"/>
        <v>3.8461538461553001E-4</v>
      </c>
      <c r="N92" s="45">
        <f t="shared" si="62"/>
        <v>-9.6153846153844702E-3</v>
      </c>
    </row>
    <row r="93" spans="1:15" x14ac:dyDescent="0.25">
      <c r="A93" s="48" t="s">
        <v>118</v>
      </c>
      <c r="B93" s="56">
        <f>+Historicals!B128</f>
        <v>1631</v>
      </c>
      <c r="C93" s="56">
        <f>+Historicals!C128</f>
        <v>1496</v>
      </c>
      <c r="D93" s="56">
        <f>+Historicals!D128</f>
        <v>1425</v>
      </c>
      <c r="E93" s="56">
        <f>+Historicals!E128</f>
        <v>1396</v>
      </c>
      <c r="F93" s="56">
        <f>+Historicals!F128</f>
        <v>1428</v>
      </c>
      <c r="G93" s="56">
        <f>+Historicals!G128</f>
        <v>1305</v>
      </c>
      <c r="H93" s="56">
        <f>+Historicals!H128</f>
        <v>29</v>
      </c>
      <c r="I93" s="56">
        <f>+Historicals!I128</f>
        <v>26</v>
      </c>
      <c r="J93" s="54">
        <f>+I93*(1+I94)</f>
        <v>23.310344827586206</v>
      </c>
      <c r="K93" s="54">
        <f>+J93*(1+J94)</f>
        <v>20.898929845422117</v>
      </c>
      <c r="L93" s="54">
        <f>+K93*(1+K94)</f>
        <v>18.736971585550865</v>
      </c>
      <c r="M93" s="54">
        <f>+L93*(1+L94)</f>
        <v>16.798664180149053</v>
      </c>
      <c r="N93" s="54">
        <f>+M93*(1+M94)</f>
        <v>15.060871333926739</v>
      </c>
    </row>
    <row r="94" spans="1:15" x14ac:dyDescent="0.25">
      <c r="A94" s="47" t="s">
        <v>144</v>
      </c>
      <c r="B94" t="str">
        <f>IFERROR(B93/A93-1,"nm")</f>
        <v>nm</v>
      </c>
      <c r="C94" s="45">
        <f t="shared" ref="C94:N94" si="63">C93/B93-1</f>
        <v>-8.2771305947271667E-2</v>
      </c>
      <c r="D94" s="45">
        <f t="shared" si="63"/>
        <v>-4.7459893048128365E-2</v>
      </c>
      <c r="E94" s="45">
        <f t="shared" si="63"/>
        <v>-2.0350877192982453E-2</v>
      </c>
      <c r="F94" s="45">
        <f t="shared" si="63"/>
        <v>2.2922636103151817E-2</v>
      </c>
      <c r="G94" s="45">
        <f t="shared" si="63"/>
        <v>-8.6134453781512632E-2</v>
      </c>
      <c r="H94" s="45">
        <f t="shared" si="63"/>
        <v>-0.97777777777777775</v>
      </c>
      <c r="I94" s="45">
        <f t="shared" si="63"/>
        <v>-0.10344827586206895</v>
      </c>
      <c r="J94" s="45">
        <f t="shared" si="63"/>
        <v>-0.10344827586206895</v>
      </c>
      <c r="K94" s="45">
        <f t="shared" si="63"/>
        <v>-0.10344827586206895</v>
      </c>
      <c r="L94" s="45">
        <f t="shared" si="63"/>
        <v>-0.10344827586206884</v>
      </c>
      <c r="M94" s="45">
        <f t="shared" si="63"/>
        <v>-0.10344827586206884</v>
      </c>
      <c r="N94" s="45">
        <f t="shared" si="63"/>
        <v>-0.10344827586206884</v>
      </c>
    </row>
    <row r="95" spans="1:15" x14ac:dyDescent="0.25">
      <c r="A95" s="47" t="s">
        <v>158</v>
      </c>
      <c r="B95" s="45">
        <f>+Historicals!B200</f>
        <v>-2.3353293413173652E-2</v>
      </c>
      <c r="C95" s="45">
        <f>+Historicals!C200</f>
        <v>-8.2771305947271612E-2</v>
      </c>
      <c r="D95" s="45">
        <f>+Historicals!D200</f>
        <v>-4.7459893048128345E-2</v>
      </c>
      <c r="E95" s="45">
        <f>+Historicals!E200</f>
        <v>-2.0350877192982456E-2</v>
      </c>
      <c r="F95" s="45">
        <f>+Historicals!F200</f>
        <v>2.2922636103151862E-2</v>
      </c>
      <c r="G95" s="45">
        <f>+Historicals!G200</f>
        <v>-8.6134453781512604E-2</v>
      </c>
      <c r="H95" s="45">
        <f>+Historicals!H200</f>
        <v>-0.97777777777777775</v>
      </c>
      <c r="I95" s="45">
        <f>+Historicals!I200</f>
        <v>-0.10344827586206896</v>
      </c>
      <c r="J95" s="45">
        <v>0</v>
      </c>
      <c r="K95" s="45">
        <v>0.01</v>
      </c>
      <c r="L95" s="45">
        <v>0.02</v>
      </c>
      <c r="M95" s="45">
        <v>0.03</v>
      </c>
      <c r="N95" s="45">
        <v>0.04</v>
      </c>
    </row>
    <row r="96" spans="1:15" x14ac:dyDescent="0.25">
      <c r="A96" s="47" t="s">
        <v>160</v>
      </c>
      <c r="B96" t="str">
        <f>IFERROR(B94-B95,"nm")</f>
        <v>nm</v>
      </c>
      <c r="C96" s="45">
        <f t="shared" ref="C96:N96" si="64">C94-C95</f>
        <v>0</v>
      </c>
      <c r="D96" s="45">
        <f t="shared" si="64"/>
        <v>0</v>
      </c>
      <c r="E96" s="45">
        <f t="shared" si="64"/>
        <v>0</v>
      </c>
      <c r="F96" s="45">
        <f t="shared" si="64"/>
        <v>-4.5102810375396984E-17</v>
      </c>
      <c r="G96" s="45">
        <f t="shared" si="64"/>
        <v>0</v>
      </c>
      <c r="H96" s="45">
        <f t="shared" si="64"/>
        <v>0</v>
      </c>
      <c r="I96" s="45">
        <f t="shared" si="64"/>
        <v>0</v>
      </c>
      <c r="J96" s="45">
        <f t="shared" si="64"/>
        <v>-0.10344827586206895</v>
      </c>
      <c r="K96" s="45">
        <f t="shared" si="64"/>
        <v>-0.11344827586206895</v>
      </c>
      <c r="L96" s="45">
        <f t="shared" si="64"/>
        <v>-0.12344827586206884</v>
      </c>
      <c r="M96" s="45">
        <f t="shared" si="64"/>
        <v>-0.13344827586206884</v>
      </c>
      <c r="N96" s="45">
        <f t="shared" si="64"/>
        <v>-0.14344827586206885</v>
      </c>
    </row>
    <row r="97" spans="1:14" x14ac:dyDescent="0.25">
      <c r="A97" s="10" t="s">
        <v>166</v>
      </c>
      <c r="B97" s="3">
        <v>0</v>
      </c>
      <c r="C97" s="3">
        <v>0</v>
      </c>
      <c r="D97" s="3">
        <v>0</v>
      </c>
      <c r="E97" s="3">
        <v>0</v>
      </c>
      <c r="F97" s="3">
        <v>106</v>
      </c>
      <c r="G97" s="3">
        <v>90</v>
      </c>
      <c r="H97" s="3">
        <v>86</v>
      </c>
      <c r="I97" s="3">
        <v>123</v>
      </c>
      <c r="J97" s="3">
        <f>I97</f>
        <v>123</v>
      </c>
      <c r="K97" s="3">
        <f>J97</f>
        <v>123</v>
      </c>
      <c r="L97" s="3">
        <f>K97</f>
        <v>123</v>
      </c>
      <c r="M97" s="3">
        <f>L97</f>
        <v>123</v>
      </c>
      <c r="N97" s="3">
        <f>M97</f>
        <v>123</v>
      </c>
    </row>
    <row r="98" spans="1:14" x14ac:dyDescent="0.25">
      <c r="A98" s="10" t="s">
        <v>145</v>
      </c>
      <c r="B98" s="3">
        <f t="shared" ref="B98:I98" si="65">B105+B101</f>
        <v>535</v>
      </c>
      <c r="C98" s="3">
        <f t="shared" si="65"/>
        <v>514</v>
      </c>
      <c r="D98" s="3">
        <f t="shared" si="65"/>
        <v>505</v>
      </c>
      <c r="E98" s="3">
        <f t="shared" si="65"/>
        <v>343</v>
      </c>
      <c r="F98" s="3">
        <f t="shared" si="65"/>
        <v>334</v>
      </c>
      <c r="G98" s="3">
        <f t="shared" si="65"/>
        <v>322</v>
      </c>
      <c r="H98" s="3">
        <f t="shared" si="65"/>
        <v>569</v>
      </c>
      <c r="I98" s="3">
        <f t="shared" si="65"/>
        <v>691</v>
      </c>
      <c r="J98" s="44">
        <f>+I98*(1+I99)</f>
        <v>839.15817223198599</v>
      </c>
      <c r="K98" s="44">
        <f>+J98*(1+J99)</f>
        <v>1019.083123044468</v>
      </c>
      <c r="L98" s="44">
        <f>+K98*(1+K99)</f>
        <v>1237.5860070715771</v>
      </c>
      <c r="M98" s="44">
        <f>+L98*(1+L99)</f>
        <v>1502.9383671115286</v>
      </c>
      <c r="N98" s="44">
        <f>+M98*(1+M99)</f>
        <v>1825.1852577751604</v>
      </c>
    </row>
    <row r="99" spans="1:14" x14ac:dyDescent="0.25">
      <c r="A99" s="42" t="s">
        <v>144</v>
      </c>
      <c r="B99" t="str">
        <f>IFERROR(B98/A98-1,"nm")</f>
        <v>nm</v>
      </c>
      <c r="C99" s="45">
        <f t="shared" ref="C99:N99" si="66">C98/B98-1</f>
        <v>-3.9252336448598157E-2</v>
      </c>
      <c r="D99" s="45">
        <f t="shared" si="66"/>
        <v>-1.7509727626459193E-2</v>
      </c>
      <c r="E99" s="45">
        <f t="shared" si="66"/>
        <v>-0.32079207920792074</v>
      </c>
      <c r="F99" s="45">
        <f t="shared" si="66"/>
        <v>-2.6239067055393583E-2</v>
      </c>
      <c r="G99" s="45">
        <f t="shared" si="66"/>
        <v>-3.59281437125748E-2</v>
      </c>
      <c r="H99" s="45">
        <f t="shared" si="66"/>
        <v>0.76708074534161486</v>
      </c>
      <c r="I99" s="45">
        <f t="shared" si="66"/>
        <v>0.21441124780316345</v>
      </c>
      <c r="J99" s="45">
        <f t="shared" si="66"/>
        <v>0.21441124780316345</v>
      </c>
      <c r="K99" s="45">
        <f t="shared" si="66"/>
        <v>0.21441124780316345</v>
      </c>
      <c r="L99" s="45">
        <f t="shared" si="66"/>
        <v>0.21441124780316345</v>
      </c>
      <c r="M99" s="45">
        <f t="shared" si="66"/>
        <v>0.21441124780316345</v>
      </c>
      <c r="N99" s="45">
        <f t="shared" si="66"/>
        <v>0.21441124780316345</v>
      </c>
    </row>
    <row r="100" spans="1:14" x14ac:dyDescent="0.25">
      <c r="A100" s="42" t="s">
        <v>147</v>
      </c>
      <c r="B100" s="45">
        <f t="shared" ref="B100:N100" si="67">B98/B83</f>
        <v>0.26992936427850656</v>
      </c>
      <c r="C100" s="45">
        <f t="shared" si="67"/>
        <v>0.26291560102301792</v>
      </c>
      <c r="D100" s="45">
        <f t="shared" si="67"/>
        <v>0.24730656219392752</v>
      </c>
      <c r="E100" s="45">
        <f t="shared" si="67"/>
        <v>0.18186638388123011</v>
      </c>
      <c r="F100" s="45">
        <f t="shared" si="67"/>
        <v>0.17523609653725078</v>
      </c>
      <c r="G100" s="45">
        <f t="shared" si="67"/>
        <v>0.17443120260021669</v>
      </c>
      <c r="H100" s="45">
        <f t="shared" si="67"/>
        <v>0.25804988662131517</v>
      </c>
      <c r="I100" s="45">
        <f t="shared" si="67"/>
        <v>0.29454390451832907</v>
      </c>
      <c r="J100" s="45">
        <f t="shared" si="67"/>
        <v>0.34393983713357679</v>
      </c>
      <c r="K100" s="45">
        <f t="shared" si="67"/>
        <v>0.40161962190634976</v>
      </c>
      <c r="L100" s="45">
        <f t="shared" si="67"/>
        <v>0.46897248671300473</v>
      </c>
      <c r="M100" s="45">
        <f t="shared" si="67"/>
        <v>0.5476206372831659</v>
      </c>
      <c r="N100" s="45">
        <f t="shared" si="67"/>
        <v>0.63945832831328175</v>
      </c>
    </row>
    <row r="101" spans="1:14" x14ac:dyDescent="0.25">
      <c r="A101" s="10" t="s">
        <v>148</v>
      </c>
      <c r="B101" s="51">
        <f>+Historicals!B173</f>
        <v>18</v>
      </c>
      <c r="C101" s="51">
        <f>+Historicals!C173</f>
        <v>27</v>
      </c>
      <c r="D101" s="51">
        <f>+Historicals!D173</f>
        <v>28</v>
      </c>
      <c r="E101" s="51">
        <f>+Historicals!E173</f>
        <v>33</v>
      </c>
      <c r="F101" s="51">
        <f>+Historicals!F173</f>
        <v>31</v>
      </c>
      <c r="G101" s="51">
        <f>+Historicals!G173</f>
        <v>25</v>
      </c>
      <c r="H101" s="51">
        <f>+Historicals!H173</f>
        <v>26</v>
      </c>
      <c r="I101" s="51">
        <f>+Historicals!I173</f>
        <v>22</v>
      </c>
      <c r="J101" s="52">
        <f>+I101*(1+I102)</f>
        <v>18.615384615384617</v>
      </c>
      <c r="K101" s="52">
        <f>+J101*(1+J102)</f>
        <v>18.615384615384617</v>
      </c>
      <c r="L101" s="52">
        <f>+K101*(1+K102)</f>
        <v>18.615384615384617</v>
      </c>
      <c r="M101" s="52">
        <f>+L101*(1+L102)</f>
        <v>18.615384615384617</v>
      </c>
      <c r="N101" s="52">
        <f>+M101*(1+M102)</f>
        <v>18.615384615384617</v>
      </c>
    </row>
    <row r="102" spans="1:14" x14ac:dyDescent="0.25">
      <c r="A102" s="42" t="s">
        <v>144</v>
      </c>
      <c r="B102" t="str">
        <f>IFERROR(B101/A101-1,"nm")</f>
        <v>nm</v>
      </c>
      <c r="C102" s="45">
        <f t="shared" ref="C102:I102" si="68">C101/B101-1</f>
        <v>0.5</v>
      </c>
      <c r="D102" s="45">
        <f t="shared" si="68"/>
        <v>3.7037037037036979E-2</v>
      </c>
      <c r="E102" s="45">
        <f t="shared" si="68"/>
        <v>0.1785714285714286</v>
      </c>
      <c r="F102" s="45">
        <f t="shared" si="68"/>
        <v>-6.0606060606060552E-2</v>
      </c>
      <c r="G102" s="45">
        <f t="shared" si="68"/>
        <v>-0.19354838709677424</v>
      </c>
      <c r="H102" s="45">
        <f t="shared" si="68"/>
        <v>4.0000000000000036E-2</v>
      </c>
      <c r="I102" s="45">
        <f t="shared" si="68"/>
        <v>-0.15384615384615385</v>
      </c>
      <c r="J102" s="45">
        <v>0</v>
      </c>
      <c r="K102" s="45">
        <v>0</v>
      </c>
      <c r="L102" s="45">
        <v>0</v>
      </c>
      <c r="M102" s="45">
        <v>0</v>
      </c>
      <c r="N102" s="45">
        <v>0</v>
      </c>
    </row>
    <row r="103" spans="1:14" x14ac:dyDescent="0.25">
      <c r="A103" s="42" t="s">
        <v>150</v>
      </c>
      <c r="B103" s="45">
        <f t="shared" ref="B103:N103" si="69">B101/B83</f>
        <v>9.0817356205852677E-3</v>
      </c>
      <c r="C103" s="45">
        <f t="shared" si="69"/>
        <v>1.3810741687979539E-2</v>
      </c>
      <c r="D103" s="45">
        <f t="shared" si="69"/>
        <v>1.3712047012732615E-2</v>
      </c>
      <c r="E103" s="45">
        <f t="shared" si="69"/>
        <v>1.7497348886532343E-2</v>
      </c>
      <c r="F103" s="45">
        <f t="shared" si="69"/>
        <v>1.6264428121720881E-2</v>
      </c>
      <c r="G103" s="45">
        <f t="shared" si="69"/>
        <v>1.3542795232936078E-2</v>
      </c>
      <c r="H103" s="45">
        <f t="shared" si="69"/>
        <v>1.1791383219954649E-2</v>
      </c>
      <c r="I103" s="45">
        <f t="shared" si="69"/>
        <v>9.3776641091219103E-3</v>
      </c>
      <c r="J103" s="45">
        <f t="shared" si="69"/>
        <v>7.62975630180037E-3</v>
      </c>
      <c r="K103" s="45">
        <f t="shared" si="69"/>
        <v>7.3363041363465097E-3</v>
      </c>
      <c r="L103" s="45">
        <f t="shared" si="69"/>
        <v>7.0541385926408753E-3</v>
      </c>
      <c r="M103" s="45">
        <f t="shared" si="69"/>
        <v>6.7828255698469944E-3</v>
      </c>
      <c r="N103" s="45">
        <f t="shared" si="69"/>
        <v>6.5219476633144174E-3</v>
      </c>
    </row>
    <row r="104" spans="1:14" x14ac:dyDescent="0.25">
      <c r="A104" s="42" t="s">
        <v>162</v>
      </c>
      <c r="B104" s="45">
        <f t="shared" ref="B104:N104" si="70">B101/B111</f>
        <v>0.14754098360655737</v>
      </c>
      <c r="C104" s="45">
        <f t="shared" si="70"/>
        <v>0.216</v>
      </c>
      <c r="D104" s="45">
        <f t="shared" si="70"/>
        <v>0.224</v>
      </c>
      <c r="E104" s="45">
        <f t="shared" si="70"/>
        <v>0.28695652173913044</v>
      </c>
      <c r="F104" s="45">
        <f t="shared" si="70"/>
        <v>0.31</v>
      </c>
      <c r="G104" s="45">
        <f t="shared" si="70"/>
        <v>0.3125</v>
      </c>
      <c r="H104" s="45">
        <f t="shared" si="70"/>
        <v>0.41269841269841268</v>
      </c>
      <c r="I104" s="45">
        <f t="shared" si="70"/>
        <v>0.44897959183673469</v>
      </c>
      <c r="J104" s="45">
        <f t="shared" si="70"/>
        <v>0.48845032518501907</v>
      </c>
      <c r="K104" s="45">
        <f t="shared" si="70"/>
        <v>0.48845032518501907</v>
      </c>
      <c r="L104" s="45">
        <f t="shared" si="70"/>
        <v>0.48845032518501907</v>
      </c>
      <c r="M104" s="45">
        <f t="shared" si="70"/>
        <v>0.48845032518501907</v>
      </c>
      <c r="N104" s="45">
        <f t="shared" si="70"/>
        <v>0.48845032518501907</v>
      </c>
    </row>
    <row r="105" spans="1:14" x14ac:dyDescent="0.25">
      <c r="A105" s="10" t="s">
        <v>151</v>
      </c>
      <c r="B105" s="51">
        <f>+Historicals!B140</f>
        <v>517</v>
      </c>
      <c r="C105" s="51">
        <f>+Historicals!C140</f>
        <v>487</v>
      </c>
      <c r="D105" s="51">
        <f>+Historicals!D140</f>
        <v>477</v>
      </c>
      <c r="E105" s="51">
        <f>+Historicals!E140</f>
        <v>310</v>
      </c>
      <c r="F105" s="51">
        <f>+Historicals!F140</f>
        <v>303</v>
      </c>
      <c r="G105" s="51">
        <f>+Historicals!G140</f>
        <v>297</v>
      </c>
      <c r="H105" s="51">
        <f>+Historicals!H140</f>
        <v>543</v>
      </c>
      <c r="I105" s="51">
        <f>+Historicals!I140</f>
        <v>669</v>
      </c>
      <c r="J105" s="52">
        <f>+I105*(1+I106)</f>
        <v>824.23756906077358</v>
      </c>
      <c r="K105" s="52">
        <f>+J105*(1+J106)</f>
        <v>824.23756906077358</v>
      </c>
      <c r="L105" s="52">
        <f>+K105*(1+K106)</f>
        <v>824.23756906077358</v>
      </c>
      <c r="M105" s="52">
        <f>+L105*(1+L106)</f>
        <v>824.23756906077358</v>
      </c>
      <c r="N105" s="52">
        <f>+M105*(1+M106)</f>
        <v>824.23756906077358</v>
      </c>
    </row>
    <row r="106" spans="1:14" x14ac:dyDescent="0.25">
      <c r="A106" s="42" t="s">
        <v>144</v>
      </c>
      <c r="B106" t="str">
        <f>IFERROR(B105/A105-1,"nm")</f>
        <v>nm</v>
      </c>
      <c r="C106" s="45">
        <f t="shared" ref="C106:I106" si="71">C105/B105-1</f>
        <v>-5.8027079303675011E-2</v>
      </c>
      <c r="D106" s="45">
        <f t="shared" si="71"/>
        <v>-2.0533880903490731E-2</v>
      </c>
      <c r="E106" s="45">
        <f t="shared" si="71"/>
        <v>-0.35010482180293501</v>
      </c>
      <c r="F106" s="45">
        <f t="shared" si="71"/>
        <v>-2.2580645161290325E-2</v>
      </c>
      <c r="G106" s="45">
        <f t="shared" si="71"/>
        <v>-1.980198019801982E-2</v>
      </c>
      <c r="H106" s="45">
        <f t="shared" si="71"/>
        <v>0.82828282828282829</v>
      </c>
      <c r="I106" s="45">
        <f t="shared" si="71"/>
        <v>0.2320441988950277</v>
      </c>
      <c r="J106" s="45">
        <v>0</v>
      </c>
      <c r="K106" s="45">
        <v>0</v>
      </c>
      <c r="L106" s="45">
        <v>0</v>
      </c>
      <c r="M106" s="45">
        <v>0</v>
      </c>
      <c r="N106" s="45">
        <v>0</v>
      </c>
    </row>
    <row r="107" spans="1:14" x14ac:dyDescent="0.25">
      <c r="A107" s="42" t="s">
        <v>147</v>
      </c>
      <c r="B107" s="45">
        <f t="shared" ref="B107:N107" si="72">B105/B83</f>
        <v>0.26084762865792127</v>
      </c>
      <c r="C107" s="45">
        <f t="shared" si="72"/>
        <v>0.24910485933503837</v>
      </c>
      <c r="D107" s="45">
        <f t="shared" si="72"/>
        <v>0.23359451518119489</v>
      </c>
      <c r="E107" s="45">
        <f t="shared" si="72"/>
        <v>0.16436903499469777</v>
      </c>
      <c r="F107" s="45">
        <f t="shared" si="72"/>
        <v>0.1589716684155299</v>
      </c>
      <c r="G107" s="45">
        <f t="shared" si="72"/>
        <v>0.16088840736728061</v>
      </c>
      <c r="H107" s="45">
        <f t="shared" si="72"/>
        <v>0.24625850340136055</v>
      </c>
      <c r="I107" s="45">
        <f t="shared" si="72"/>
        <v>0.28516624040920718</v>
      </c>
      <c r="J107" s="45">
        <f t="shared" si="72"/>
        <v>0.33782443482391206</v>
      </c>
      <c r="K107" s="45">
        <f t="shared" si="72"/>
        <v>0.32483118733068461</v>
      </c>
      <c r="L107" s="45">
        <f t="shared" si="72"/>
        <v>0.31233768012565832</v>
      </c>
      <c r="M107" s="45">
        <f t="shared" si="72"/>
        <v>0.30032469242851761</v>
      </c>
      <c r="N107" s="45">
        <f t="shared" si="72"/>
        <v>0.28877374271972844</v>
      </c>
    </row>
    <row r="108" spans="1:14" x14ac:dyDescent="0.25">
      <c r="A108" s="10" t="s">
        <v>153</v>
      </c>
      <c r="B108" s="51">
        <v>69</v>
      </c>
      <c r="C108" s="51">
        <v>39</v>
      </c>
      <c r="D108" s="51">
        <v>30</v>
      </c>
      <c r="E108" s="51">
        <v>22</v>
      </c>
      <c r="F108" s="51">
        <v>18</v>
      </c>
      <c r="G108" s="51">
        <v>12</v>
      </c>
      <c r="H108" s="51">
        <v>7</v>
      </c>
      <c r="I108" s="51">
        <v>9</v>
      </c>
      <c r="J108" s="52">
        <f>+I108*(1+I109)</f>
        <v>11.571428571428573</v>
      </c>
      <c r="K108" s="52">
        <f>+J108*(1+J109)</f>
        <v>14.877551020408166</v>
      </c>
      <c r="L108" s="52">
        <f>+K108*(1+K109)</f>
        <v>19.128279883381929</v>
      </c>
      <c r="M108" s="52">
        <f>+L108*(1+L109)</f>
        <v>24.593502707205339</v>
      </c>
      <c r="N108" s="52">
        <f>+M108*(1+M109)</f>
        <v>31.620217766406867</v>
      </c>
    </row>
    <row r="109" spans="1:14" x14ac:dyDescent="0.25">
      <c r="A109" s="42" t="s">
        <v>144</v>
      </c>
      <c r="B109" t="str">
        <f>IFERROR(B108/A108-1,"nm")</f>
        <v>nm</v>
      </c>
      <c r="C109" s="45">
        <f t="shared" ref="C109:N109" si="73">C108/B108-1</f>
        <v>-0.43478260869565222</v>
      </c>
      <c r="D109" s="45">
        <f t="shared" si="73"/>
        <v>-0.23076923076923073</v>
      </c>
      <c r="E109" s="45">
        <f t="shared" si="73"/>
        <v>-0.26666666666666672</v>
      </c>
      <c r="F109" s="45">
        <f t="shared" si="73"/>
        <v>-0.18181818181818177</v>
      </c>
      <c r="G109" s="45">
        <f t="shared" si="73"/>
        <v>-0.33333333333333337</v>
      </c>
      <c r="H109" s="45">
        <f t="shared" si="73"/>
        <v>-0.41666666666666663</v>
      </c>
      <c r="I109" s="45">
        <f t="shared" si="73"/>
        <v>0.28571428571428581</v>
      </c>
      <c r="J109" s="45">
        <f t="shared" si="73"/>
        <v>0.28571428571428581</v>
      </c>
      <c r="K109" s="45">
        <f t="shared" si="73"/>
        <v>0.28571428571428581</v>
      </c>
      <c r="L109" s="45">
        <f t="shared" si="73"/>
        <v>0.28571428571428581</v>
      </c>
      <c r="M109" s="45">
        <f t="shared" si="73"/>
        <v>0.28571428571428581</v>
      </c>
      <c r="N109" s="45">
        <f t="shared" si="73"/>
        <v>0.28571428571428581</v>
      </c>
    </row>
    <row r="110" spans="1:14" x14ac:dyDescent="0.25">
      <c r="A110" s="42" t="s">
        <v>150</v>
      </c>
      <c r="B110" s="45">
        <f t="shared" ref="B110:N110" si="74">B108/B83</f>
        <v>3.481331987891019E-2</v>
      </c>
      <c r="C110" s="45">
        <f t="shared" si="74"/>
        <v>1.9948849104859334E-2</v>
      </c>
      <c r="D110" s="45">
        <f t="shared" si="74"/>
        <v>1.4691478942213516E-2</v>
      </c>
      <c r="E110" s="45">
        <f t="shared" si="74"/>
        <v>1.166489925768823E-2</v>
      </c>
      <c r="F110" s="45">
        <f t="shared" si="74"/>
        <v>9.4438614900314802E-3</v>
      </c>
      <c r="G110" s="45">
        <f t="shared" si="74"/>
        <v>6.5005417118093175E-3</v>
      </c>
      <c r="H110" s="45">
        <f t="shared" si="74"/>
        <v>3.1746031746031746E-3</v>
      </c>
      <c r="I110" s="45">
        <f t="shared" si="74"/>
        <v>3.8363171355498722E-3</v>
      </c>
      <c r="J110" s="45">
        <f t="shared" si="74"/>
        <v>4.7426997554874794E-3</v>
      </c>
      <c r="K110" s="45">
        <f t="shared" si="74"/>
        <v>5.8632277196960601E-3</v>
      </c>
      <c r="L110" s="45">
        <f t="shared" si="74"/>
        <v>7.248495807316558E-3</v>
      </c>
      <c r="M110" s="45">
        <f t="shared" si="74"/>
        <v>8.9610525090451955E-3</v>
      </c>
      <c r="N110" s="45">
        <f t="shared" si="74"/>
        <v>1.1078224255687743E-2</v>
      </c>
    </row>
    <row r="111" spans="1:14" x14ac:dyDescent="0.25">
      <c r="A111" s="10" t="s">
        <v>155</v>
      </c>
      <c r="B111" s="51">
        <f>+Historicals!B151</f>
        <v>122</v>
      </c>
      <c r="C111" s="51">
        <f>+Historicals!C151</f>
        <v>125</v>
      </c>
      <c r="D111" s="51">
        <f>+Historicals!D151</f>
        <v>125</v>
      </c>
      <c r="E111" s="51">
        <f>+Historicals!E151</f>
        <v>115</v>
      </c>
      <c r="F111" s="51">
        <f>+Historicals!F151</f>
        <v>100</v>
      </c>
      <c r="G111" s="51">
        <f>+Historicals!G151</f>
        <v>80</v>
      </c>
      <c r="H111" s="51">
        <f>+Historicals!H151</f>
        <v>63</v>
      </c>
      <c r="I111" s="51">
        <f>+Historicals!I151</f>
        <v>49</v>
      </c>
      <c r="J111" s="44">
        <f>+I111*(1+I112)</f>
        <v>38.111111111111114</v>
      </c>
      <c r="K111" s="44">
        <f>+J111*(1+J112)</f>
        <v>38.111111111111114</v>
      </c>
      <c r="L111" s="44">
        <f>+K111*(1+K112)</f>
        <v>38.111111111111114</v>
      </c>
      <c r="M111" s="44">
        <f>+L111*(1+L112)</f>
        <v>38.111111111111114</v>
      </c>
      <c r="N111" s="44">
        <f>+M111*(1+M112)</f>
        <v>38.111111111111114</v>
      </c>
    </row>
    <row r="112" spans="1:14" x14ac:dyDescent="0.25">
      <c r="A112" s="42" t="s">
        <v>144</v>
      </c>
      <c r="B112" t="str">
        <f>IFERROR(B111/A111-1,"nm")</f>
        <v>nm</v>
      </c>
      <c r="C112" s="45">
        <f t="shared" ref="C112:I112" si="75">C111/B111-1</f>
        <v>2.4590163934426146E-2</v>
      </c>
      <c r="D112" s="45">
        <f t="shared" si="75"/>
        <v>0</v>
      </c>
      <c r="E112" s="45">
        <f t="shared" si="75"/>
        <v>-7.999999999999996E-2</v>
      </c>
      <c r="F112" s="45">
        <f t="shared" si="75"/>
        <v>-0.13043478260869568</v>
      </c>
      <c r="G112" s="45">
        <f t="shared" si="75"/>
        <v>-0.19999999999999996</v>
      </c>
      <c r="H112" s="45">
        <f t="shared" si="75"/>
        <v>-0.21250000000000002</v>
      </c>
      <c r="I112" s="45">
        <f t="shared" si="75"/>
        <v>-0.22222222222222221</v>
      </c>
      <c r="J112" s="45">
        <v>0</v>
      </c>
      <c r="K112" s="45">
        <v>0</v>
      </c>
      <c r="L112" s="45">
        <v>0</v>
      </c>
      <c r="M112" s="45">
        <v>0</v>
      </c>
      <c r="N112" s="45">
        <v>0</v>
      </c>
    </row>
    <row r="113" spans="1:15" x14ac:dyDescent="0.25">
      <c r="A113" s="42" t="s">
        <v>150</v>
      </c>
      <c r="B113" s="45">
        <f t="shared" ref="B113:N113" si="76">B111/B83</f>
        <v>6.1553985872855703E-2</v>
      </c>
      <c r="C113" s="45">
        <f t="shared" si="76"/>
        <v>6.3938618925831206E-2</v>
      </c>
      <c r="D113" s="45">
        <f t="shared" si="76"/>
        <v>6.1214495592556317E-2</v>
      </c>
      <c r="E113" s="45">
        <f t="shared" si="76"/>
        <v>6.097560975609756E-2</v>
      </c>
      <c r="F113" s="45">
        <f t="shared" si="76"/>
        <v>5.2465897166841552E-2</v>
      </c>
      <c r="G113" s="45">
        <f t="shared" si="76"/>
        <v>4.3336944745395449E-2</v>
      </c>
      <c r="H113" s="45">
        <f t="shared" si="76"/>
        <v>2.8571428571428571E-2</v>
      </c>
      <c r="I113" s="45">
        <f t="shared" si="76"/>
        <v>2.0886615515771527E-2</v>
      </c>
      <c r="J113" s="45">
        <f t="shared" si="76"/>
        <v>1.56203321164958E-2</v>
      </c>
      <c r="K113" s="45">
        <f t="shared" si="76"/>
        <v>1.5019550112015192E-2</v>
      </c>
      <c r="L113" s="45">
        <f t="shared" si="76"/>
        <v>1.4441875107706916E-2</v>
      </c>
      <c r="M113" s="45">
        <f t="shared" si="76"/>
        <v>1.388641837279511E-2</v>
      </c>
      <c r="N113" s="45">
        <f t="shared" si="76"/>
        <v>1.3352325358456835E-2</v>
      </c>
    </row>
    <row r="114" spans="1:15" x14ac:dyDescent="0.25">
      <c r="A114" s="46" t="s">
        <v>120</v>
      </c>
      <c r="B114" s="46"/>
      <c r="C114" s="46"/>
      <c r="D114" s="46"/>
      <c r="E114" s="46"/>
      <c r="F114" s="46"/>
      <c r="G114" s="46"/>
      <c r="H114" s="46"/>
      <c r="I114" s="46"/>
      <c r="J114" s="39"/>
      <c r="K114" s="39"/>
      <c r="L114" s="39"/>
      <c r="M114" s="39"/>
      <c r="N114" s="39"/>
    </row>
    <row r="115" spans="1:15" x14ac:dyDescent="0.25">
      <c r="A115" s="10" t="s">
        <v>157</v>
      </c>
      <c r="B115" s="3">
        <f t="shared" ref="B115:I115" si="77">B117+B121+B125</f>
        <v>3067</v>
      </c>
      <c r="C115" s="3">
        <f t="shared" si="77"/>
        <v>3785</v>
      </c>
      <c r="D115" s="3">
        <f t="shared" si="77"/>
        <v>4237</v>
      </c>
      <c r="E115" s="3">
        <f t="shared" si="77"/>
        <v>5134</v>
      </c>
      <c r="F115" s="3">
        <f t="shared" si="77"/>
        <v>6208</v>
      </c>
      <c r="G115" s="3">
        <f t="shared" si="77"/>
        <v>6679</v>
      </c>
      <c r="H115" s="3">
        <f t="shared" si="77"/>
        <v>8290</v>
      </c>
      <c r="I115" s="3">
        <f t="shared" si="77"/>
        <v>7547</v>
      </c>
      <c r="J115" s="44">
        <f>+I115*(1+I116)</f>
        <v>6870.5921592279856</v>
      </c>
      <c r="K115" s="44">
        <f>+J115*(1+J116)</f>
        <v>6254.8080851258874</v>
      </c>
      <c r="L115" s="44">
        <f>+K115*(1+K116)</f>
        <v>5694.2143086182232</v>
      </c>
      <c r="M115" s="44">
        <f>+L115*(1+L116)</f>
        <v>5183.8643410303657</v>
      </c>
      <c r="N115" s="44">
        <f>+M115*(1+M116)</f>
        <v>4719.2550279561119</v>
      </c>
    </row>
    <row r="116" spans="1:15" x14ac:dyDescent="0.25">
      <c r="A116" s="47" t="s">
        <v>144</v>
      </c>
      <c r="B116" s="53">
        <f>+Historicals!B187</f>
        <v>0.17870868562644121</v>
      </c>
      <c r="C116" s="53">
        <f>+Historicals!C187</f>
        <v>0.23410498858819692</v>
      </c>
      <c r="D116" s="53">
        <f>+Historicals!D187</f>
        <v>0.11941875825627477</v>
      </c>
      <c r="E116" s="53">
        <f>+Historicals!E187</f>
        <v>0.21170639603493038</v>
      </c>
      <c r="F116" s="53">
        <f>+Historicals!F187</f>
        <v>0.20919361121932217</v>
      </c>
      <c r="G116" s="53">
        <f>+Historicals!G187</f>
        <v>7.5869845360824736E-2</v>
      </c>
      <c r="H116" s="53">
        <f>+Historicals!H187</f>
        <v>0.24120377301991316</v>
      </c>
      <c r="I116" s="53">
        <f>+Historicals!I187</f>
        <v>-8.9626055488540413E-2</v>
      </c>
      <c r="J116" s="45">
        <f>J115/I115-1</f>
        <v>-8.9626055488540413E-2</v>
      </c>
      <c r="K116" s="45">
        <f>K115/J115-1</f>
        <v>-8.9626055488540413E-2</v>
      </c>
      <c r="L116" s="45">
        <f>L115/K115-1</f>
        <v>-8.9626055488540413E-2</v>
      </c>
      <c r="M116" s="45">
        <f>M115/L115-1</f>
        <v>-8.9626055488540413E-2</v>
      </c>
      <c r="N116" s="45">
        <f>N115/M115-1</f>
        <v>-8.9626055488540413E-2</v>
      </c>
    </row>
    <row r="117" spans="1:15" x14ac:dyDescent="0.25">
      <c r="A117" s="48" t="s">
        <v>116</v>
      </c>
      <c r="B117">
        <f>+Historicals!B116</f>
        <v>2016</v>
      </c>
      <c r="C117">
        <f>+Historicals!C116</f>
        <v>2599</v>
      </c>
      <c r="D117">
        <f>+Historicals!D116</f>
        <v>2920</v>
      </c>
      <c r="E117">
        <f>+Historicals!E116</f>
        <v>3496</v>
      </c>
      <c r="F117">
        <f>+Historicals!F116</f>
        <v>4262</v>
      </c>
      <c r="G117">
        <f>+Historicals!G116</f>
        <v>4635</v>
      </c>
      <c r="H117" s="18">
        <f>+Historicals!H116</f>
        <v>5748</v>
      </c>
      <c r="I117" s="18">
        <f>+Historicals!I116</f>
        <v>5416</v>
      </c>
      <c r="J117" s="18">
        <f>+I117*(1+I118)</f>
        <v>5103.1760612386915</v>
      </c>
      <c r="K117" s="18">
        <f>+J117*(1+J118)</f>
        <v>4808.4205893647795</v>
      </c>
      <c r="L117" s="18">
        <f>+K117*(1+K118)</f>
        <v>4530.6899638134382</v>
      </c>
      <c r="M117" s="18">
        <f>+L117*(1+L118)</f>
        <v>4269.0008427302673</v>
      </c>
      <c r="N117" s="18">
        <f>+M117*(1+M118)</f>
        <v>4022.4266813199588</v>
      </c>
    </row>
    <row r="118" spans="1:15" x14ac:dyDescent="0.25">
      <c r="A118" s="47" t="s">
        <v>144</v>
      </c>
      <c r="B118" t="str">
        <f>IFERROR(B117/A117-1,"nm")</f>
        <v>nm</v>
      </c>
      <c r="C118" s="45">
        <f t="shared" ref="C118:N118" si="78">C117/B117-1</f>
        <v>0.28918650793650791</v>
      </c>
      <c r="D118" s="45">
        <f t="shared" si="78"/>
        <v>0.12350904193920731</v>
      </c>
      <c r="E118" s="45">
        <f t="shared" si="78"/>
        <v>0.19726027397260282</v>
      </c>
      <c r="F118" s="45">
        <f t="shared" si="78"/>
        <v>0.21910755148741412</v>
      </c>
      <c r="G118" s="45">
        <f t="shared" si="78"/>
        <v>8.7517597372125833E-2</v>
      </c>
      <c r="H118" s="45">
        <f t="shared" si="78"/>
        <v>0.24012944983818763</v>
      </c>
      <c r="I118" s="45">
        <f t="shared" si="78"/>
        <v>-5.7759220598469052E-2</v>
      </c>
      <c r="J118" s="45">
        <f t="shared" si="78"/>
        <v>-5.7759220598469052E-2</v>
      </c>
      <c r="K118" s="45">
        <f t="shared" si="78"/>
        <v>-5.7759220598469052E-2</v>
      </c>
      <c r="L118" s="45">
        <f t="shared" si="78"/>
        <v>-5.7759220598469163E-2</v>
      </c>
      <c r="M118" s="45">
        <f t="shared" si="78"/>
        <v>-5.7759220598469274E-2</v>
      </c>
      <c r="N118" s="45">
        <f t="shared" si="78"/>
        <v>-5.7759220598469274E-2</v>
      </c>
    </row>
    <row r="119" spans="1:15" x14ac:dyDescent="0.25">
      <c r="A119" s="47" t="s">
        <v>158</v>
      </c>
      <c r="B119" s="53">
        <f>+Historicals!B188</f>
        <v>0.26</v>
      </c>
      <c r="C119" s="53">
        <f>+Historicals!C188</f>
        <v>0.28918650793650796</v>
      </c>
      <c r="D119" s="53">
        <f>+Historicals!D188</f>
        <v>0.12350904193920739</v>
      </c>
      <c r="E119" s="53">
        <f>+Historicals!E188</f>
        <v>0.19726027397260273</v>
      </c>
      <c r="F119" s="53">
        <f>+Historicals!F188</f>
        <v>0.21910755148741418</v>
      </c>
      <c r="G119" s="53">
        <f>+Historicals!G188</f>
        <v>8.7517597372125763E-2</v>
      </c>
      <c r="H119" s="53">
        <f>+Historicals!H188</f>
        <v>0.24012944983818771</v>
      </c>
      <c r="I119" s="53">
        <f>+Historicals!I188</f>
        <v>-5.7759220598469031E-2</v>
      </c>
      <c r="J119" s="45">
        <v>0</v>
      </c>
      <c r="K119" s="45">
        <v>0</v>
      </c>
      <c r="L119" s="45">
        <v>0</v>
      </c>
      <c r="M119" s="45">
        <v>0</v>
      </c>
      <c r="N119" s="45">
        <v>0</v>
      </c>
      <c r="O119" t="s">
        <v>167</v>
      </c>
    </row>
    <row r="120" spans="1:15" x14ac:dyDescent="0.25">
      <c r="A120" s="47" t="s">
        <v>160</v>
      </c>
      <c r="B120" t="str">
        <f>IFERROR(B118-B119,"nm")</f>
        <v>nm</v>
      </c>
      <c r="C120" s="45">
        <f t="shared" ref="C120:N120" si="79">C118-C119</f>
        <v>0</v>
      </c>
      <c r="D120" s="45">
        <f t="shared" si="79"/>
        <v>0</v>
      </c>
      <c r="E120" s="45">
        <f t="shared" si="79"/>
        <v>0</v>
      </c>
      <c r="F120" s="45">
        <f t="shared" si="79"/>
        <v>0</v>
      </c>
      <c r="G120" s="45">
        <f t="shared" si="79"/>
        <v>0</v>
      </c>
      <c r="H120" s="45">
        <f t="shared" si="79"/>
        <v>0</v>
      </c>
      <c r="I120" s="45">
        <f t="shared" si="79"/>
        <v>0</v>
      </c>
      <c r="J120" s="45">
        <f t="shared" si="79"/>
        <v>-5.7759220598469052E-2</v>
      </c>
      <c r="K120" s="45">
        <f t="shared" si="79"/>
        <v>-5.7759220598469052E-2</v>
      </c>
      <c r="L120" s="45">
        <f t="shared" si="79"/>
        <v>-5.7759220598469163E-2</v>
      </c>
      <c r="M120" s="45">
        <f t="shared" si="79"/>
        <v>-5.7759220598469274E-2</v>
      </c>
      <c r="N120" s="45">
        <f t="shared" si="79"/>
        <v>-5.7759220598469274E-2</v>
      </c>
    </row>
    <row r="121" spans="1:15" x14ac:dyDescent="0.25">
      <c r="A121" s="48" t="s">
        <v>117</v>
      </c>
      <c r="B121">
        <f>+Historicals!B117</f>
        <v>925</v>
      </c>
      <c r="C121">
        <f>+Historicals!C117</f>
        <v>1055</v>
      </c>
      <c r="D121">
        <f>+Historicals!D117</f>
        <v>1188</v>
      </c>
      <c r="E121">
        <f>+Historicals!E117</f>
        <v>1508</v>
      </c>
      <c r="F121">
        <f>+Historicals!F117</f>
        <v>1808</v>
      </c>
      <c r="G121">
        <f>+Historicals!G117</f>
        <v>1896</v>
      </c>
      <c r="H121" s="18">
        <f>+Historicals!H117</f>
        <v>2347</v>
      </c>
      <c r="I121" s="18">
        <f>+Historicals!I117</f>
        <v>1938</v>
      </c>
      <c r="J121" s="18">
        <f>(1+J123)*I121</f>
        <v>1899.24</v>
      </c>
      <c r="K121" s="18">
        <f>(1+K123)*J121</f>
        <v>1880.2475999999999</v>
      </c>
      <c r="L121" s="18">
        <f>(1+L123)*K121</f>
        <v>1880.2475999999999</v>
      </c>
      <c r="M121" s="18">
        <f>(1+M123)*L121</f>
        <v>1899.050076</v>
      </c>
      <c r="N121" s="18">
        <f>(1+N123)*M121</f>
        <v>1937.0310775200001</v>
      </c>
    </row>
    <row r="122" spans="1:15" x14ac:dyDescent="0.25">
      <c r="A122" s="47" t="s">
        <v>144</v>
      </c>
      <c r="B122" t="str">
        <f>IFERROR(B121/A121-1,"nm")</f>
        <v>nm</v>
      </c>
      <c r="C122" s="45">
        <f>C121/B121-1</f>
        <v>0.14054054054054044</v>
      </c>
    </row>
    <row r="123" spans="1:15" x14ac:dyDescent="0.25">
      <c r="A123" s="47" t="s">
        <v>158</v>
      </c>
      <c r="B123" s="53">
        <f>+Historicals!B189</f>
        <v>5.5936073059360727E-2</v>
      </c>
      <c r="C123" s="53">
        <f>+Historicals!C189</f>
        <v>0.14054054054054055</v>
      </c>
      <c r="D123" s="53">
        <f>+Historicals!D189</f>
        <v>0.12606635071090047</v>
      </c>
      <c r="E123" s="53">
        <f>+Historicals!E189</f>
        <v>0.26936026936026936</v>
      </c>
      <c r="F123" s="53">
        <f>+Historicals!F189</f>
        <v>0.19893899204244031</v>
      </c>
      <c r="G123" s="53">
        <f>+Historicals!G189</f>
        <v>4.8672566371681415E-2</v>
      </c>
      <c r="H123" s="53">
        <f>+Historicals!H189</f>
        <v>0.2378691983122363</v>
      </c>
      <c r="I123" s="53">
        <f>+Historicals!I189</f>
        <v>-0.17426501917341286</v>
      </c>
      <c r="J123" s="45">
        <v>-0.02</v>
      </c>
      <c r="K123" s="45">
        <v>-0.01</v>
      </c>
      <c r="L123" s="45">
        <v>0</v>
      </c>
      <c r="M123" s="45">
        <v>0.01</v>
      </c>
      <c r="N123" s="45">
        <v>0.02</v>
      </c>
    </row>
    <row r="124" spans="1:15" x14ac:dyDescent="0.25">
      <c r="A124" s="47" t="s">
        <v>160</v>
      </c>
      <c r="B124" t="str">
        <f>IFERROR(B122-B123,"nm")</f>
        <v>nm</v>
      </c>
      <c r="C124" s="45">
        <f t="shared" ref="C124:N124" si="80">C122-C123</f>
        <v>0</v>
      </c>
      <c r="D124" s="45">
        <f t="shared" si="80"/>
        <v>-0.12606635071090047</v>
      </c>
      <c r="E124" s="45">
        <f t="shared" si="80"/>
        <v>-0.26936026936026936</v>
      </c>
      <c r="F124" s="45">
        <f t="shared" si="80"/>
        <v>-0.19893899204244031</v>
      </c>
      <c r="G124" s="45">
        <f t="shared" si="80"/>
        <v>-4.8672566371681415E-2</v>
      </c>
      <c r="H124" s="45">
        <f t="shared" si="80"/>
        <v>-0.2378691983122363</v>
      </c>
      <c r="I124" s="45">
        <f t="shared" si="80"/>
        <v>0.17426501917341286</v>
      </c>
      <c r="J124" s="45">
        <f t="shared" si="80"/>
        <v>0.02</v>
      </c>
      <c r="K124" s="45">
        <f t="shared" si="80"/>
        <v>0.01</v>
      </c>
      <c r="L124" s="45">
        <f t="shared" si="80"/>
        <v>0</v>
      </c>
      <c r="M124" s="45">
        <f t="shared" si="80"/>
        <v>-0.01</v>
      </c>
      <c r="N124" s="45">
        <f t="shared" si="80"/>
        <v>-0.02</v>
      </c>
    </row>
    <row r="125" spans="1:15" x14ac:dyDescent="0.25">
      <c r="A125" s="48" t="s">
        <v>118</v>
      </c>
      <c r="B125">
        <f>+Historicals!B118</f>
        <v>126</v>
      </c>
      <c r="C125">
        <f>+Historicals!C118</f>
        <v>131</v>
      </c>
      <c r="D125">
        <f>+Historicals!D118</f>
        <v>129</v>
      </c>
      <c r="E125">
        <f>+Historicals!E118</f>
        <v>130</v>
      </c>
      <c r="F125">
        <f>+Historicals!F118</f>
        <v>138</v>
      </c>
      <c r="G125">
        <f>+Historicals!G118</f>
        <v>148</v>
      </c>
      <c r="H125">
        <f>+Historicals!H118</f>
        <v>195</v>
      </c>
      <c r="I125">
        <f>+Historicals!I118</f>
        <v>193</v>
      </c>
      <c r="J125" s="57">
        <f>(1+J127)*I125</f>
        <v>189.14</v>
      </c>
      <c r="K125" s="57">
        <f>(1+K127)*J125</f>
        <v>187.24859999999998</v>
      </c>
      <c r="L125" s="57">
        <f>(1+L127)*K125</f>
        <v>187.24859999999998</v>
      </c>
      <c r="M125" s="57">
        <f>(1+M127)*L125</f>
        <v>189.12108599999999</v>
      </c>
      <c r="N125" s="57">
        <f>(1+N127)*M125</f>
        <v>192.90350771999999</v>
      </c>
    </row>
    <row r="126" spans="1:15" x14ac:dyDescent="0.25">
      <c r="A126" s="47" t="s">
        <v>144</v>
      </c>
      <c r="B126" t="str">
        <f>IFERROR(B125/A125-1,"nm")</f>
        <v>nm</v>
      </c>
      <c r="C126" s="45">
        <f>C125/B125-1</f>
        <v>3.9682539682539764E-2</v>
      </c>
    </row>
    <row r="127" spans="1:15" x14ac:dyDescent="0.25">
      <c r="A127" s="47" t="s">
        <v>158</v>
      </c>
      <c r="B127" s="53">
        <f>+Historicals!B190</f>
        <v>0</v>
      </c>
      <c r="C127" s="53">
        <f>+Historicals!C190</f>
        <v>3.968253968253968E-2</v>
      </c>
      <c r="D127" s="53">
        <f>+Historicals!D190</f>
        <v>-1.5267175572519083E-2</v>
      </c>
      <c r="E127" s="53">
        <f>+Historicals!E190</f>
        <v>7.7519379844961239E-3</v>
      </c>
      <c r="F127" s="53">
        <f>+Historicals!F190</f>
        <v>6.1538461538461542E-2</v>
      </c>
      <c r="G127" s="53">
        <f>+Historicals!G190</f>
        <v>7.2463768115942032E-2</v>
      </c>
      <c r="H127" s="53">
        <f>+Historicals!H190</f>
        <v>0.31756756756756754</v>
      </c>
      <c r="I127" s="53">
        <f>+Historicals!I190</f>
        <v>-1.0256410256410256E-2</v>
      </c>
      <c r="J127" s="45">
        <v>-0.02</v>
      </c>
      <c r="K127" s="45">
        <v>-0.01</v>
      </c>
      <c r="L127" s="45">
        <v>0</v>
      </c>
      <c r="M127" s="45">
        <v>0.01</v>
      </c>
      <c r="N127" s="45">
        <v>0.02</v>
      </c>
    </row>
    <row r="128" spans="1:15" x14ac:dyDescent="0.25">
      <c r="A128" s="47" t="s">
        <v>160</v>
      </c>
      <c r="B128" t="str">
        <f>IFERROR(B126-B127,"nm")</f>
        <v>nm</v>
      </c>
      <c r="C128" s="45">
        <f t="shared" ref="C128:N128" si="81">C126-C127</f>
        <v>8.3266726846886741E-17</v>
      </c>
      <c r="D128" s="45">
        <f t="shared" si="81"/>
        <v>1.5267175572519083E-2</v>
      </c>
      <c r="E128" s="45">
        <f t="shared" si="81"/>
        <v>-7.7519379844961239E-3</v>
      </c>
      <c r="F128" s="45">
        <f t="shared" si="81"/>
        <v>-6.1538461538461542E-2</v>
      </c>
      <c r="G128" s="45">
        <f t="shared" si="81"/>
        <v>-7.2463768115942032E-2</v>
      </c>
      <c r="H128" s="45">
        <f t="shared" si="81"/>
        <v>-0.31756756756756754</v>
      </c>
      <c r="I128" s="45">
        <f t="shared" si="81"/>
        <v>1.0256410256410256E-2</v>
      </c>
      <c r="J128" s="45">
        <f t="shared" si="81"/>
        <v>0.02</v>
      </c>
      <c r="K128" s="45">
        <f t="shared" si="81"/>
        <v>0.01</v>
      </c>
      <c r="L128" s="45">
        <f t="shared" si="81"/>
        <v>0</v>
      </c>
      <c r="M128" s="45">
        <f t="shared" si="81"/>
        <v>-0.01</v>
      </c>
      <c r="N128" s="45">
        <f t="shared" si="81"/>
        <v>-0.02</v>
      </c>
    </row>
    <row r="129" spans="1:14" x14ac:dyDescent="0.25">
      <c r="A129" s="10" t="s">
        <v>145</v>
      </c>
      <c r="B129" s="3">
        <f t="shared" ref="B129:I129" si="82">B136+B132</f>
        <v>1039</v>
      </c>
      <c r="C129" s="3">
        <f t="shared" si="82"/>
        <v>1420</v>
      </c>
      <c r="D129" s="3">
        <f t="shared" si="82"/>
        <v>1561</v>
      </c>
      <c r="E129" s="3">
        <f t="shared" si="82"/>
        <v>1863</v>
      </c>
      <c r="F129" s="3">
        <f t="shared" si="82"/>
        <v>2426</v>
      </c>
      <c r="G129" s="3">
        <f t="shared" si="82"/>
        <v>2534</v>
      </c>
      <c r="H129" s="3">
        <f t="shared" si="82"/>
        <v>3289</v>
      </c>
      <c r="I129" s="3">
        <f t="shared" si="82"/>
        <v>2406</v>
      </c>
      <c r="J129" s="3">
        <f>+I129*(1+I130)</f>
        <v>2406</v>
      </c>
      <c r="K129" s="3">
        <f>+J129*(1+J130)</f>
        <v>2406</v>
      </c>
      <c r="L129" s="3">
        <f>+K129*(1+K130)</f>
        <v>2406</v>
      </c>
      <c r="M129" s="3">
        <f>+L129*(1+L130)</f>
        <v>2406</v>
      </c>
      <c r="N129" s="3">
        <f>+M129*(1+M130)</f>
        <v>2406</v>
      </c>
    </row>
    <row r="130" spans="1:14" x14ac:dyDescent="0.25">
      <c r="A130" s="42" t="s">
        <v>144</v>
      </c>
      <c r="B130" t="str">
        <f>IFERROR(B129/A129-1,"nm")</f>
        <v>nm</v>
      </c>
      <c r="C130" s="45">
        <f>C129/B129-1</f>
        <v>0.36669874879692022</v>
      </c>
      <c r="J130" s="45">
        <v>0</v>
      </c>
      <c r="K130" s="45">
        <v>0</v>
      </c>
      <c r="L130" s="45">
        <v>0</v>
      </c>
      <c r="M130" s="45">
        <v>0</v>
      </c>
      <c r="N130" s="45">
        <v>0</v>
      </c>
    </row>
    <row r="131" spans="1:14" x14ac:dyDescent="0.25">
      <c r="A131" s="42" t="s">
        <v>147</v>
      </c>
      <c r="B131" s="45">
        <f t="shared" ref="B131:N131" si="83">B129/B115</f>
        <v>0.33876752526899251</v>
      </c>
      <c r="C131" s="45">
        <f t="shared" si="83"/>
        <v>0.37516512549537651</v>
      </c>
      <c r="D131" s="45">
        <f t="shared" si="83"/>
        <v>0.36842105263157893</v>
      </c>
      <c r="E131" s="45">
        <f t="shared" si="83"/>
        <v>0.36287495130502534</v>
      </c>
      <c r="F131" s="45">
        <f t="shared" si="83"/>
        <v>0.3907860824742268</v>
      </c>
      <c r="G131" s="45">
        <f t="shared" si="83"/>
        <v>0.37939811349004343</v>
      </c>
      <c r="H131" s="45">
        <f t="shared" si="83"/>
        <v>0.39674306393244874</v>
      </c>
      <c r="I131" s="45">
        <f t="shared" si="83"/>
        <v>0.31880217304889358</v>
      </c>
      <c r="J131" s="45">
        <f t="shared" si="83"/>
        <v>0.35018815616474464</v>
      </c>
      <c r="K131" s="45">
        <f t="shared" si="83"/>
        <v>0.38466408037706812</v>
      </c>
      <c r="L131" s="45">
        <f t="shared" si="83"/>
        <v>0.422534149506545</v>
      </c>
      <c r="M131" s="45">
        <f t="shared" si="83"/>
        <v>0.46413251615334011</v>
      </c>
      <c r="N131" s="45">
        <f t="shared" si="83"/>
        <v>0.50982623014591089</v>
      </c>
    </row>
    <row r="132" spans="1:14" x14ac:dyDescent="0.25">
      <c r="A132" s="10" t="s">
        <v>148</v>
      </c>
      <c r="B132" s="51">
        <f>+Historicals!B169</f>
        <v>46</v>
      </c>
      <c r="C132" s="51">
        <f>+Historicals!C169</f>
        <v>48</v>
      </c>
      <c r="D132" s="51">
        <f>+Historicals!D169</f>
        <v>54</v>
      </c>
      <c r="E132" s="51">
        <f>+Historicals!E169</f>
        <v>56</v>
      </c>
      <c r="F132" s="51">
        <f>+Historicals!F169</f>
        <v>50</v>
      </c>
      <c r="G132" s="51">
        <f>+Historicals!G169</f>
        <v>44</v>
      </c>
      <c r="H132" s="51">
        <f>+Historicals!H169</f>
        <v>46</v>
      </c>
      <c r="I132" s="51">
        <f>+Historicals!I169</f>
        <v>41</v>
      </c>
      <c r="J132" s="3">
        <f>+I132*(1+I133)</f>
        <v>41</v>
      </c>
      <c r="K132" s="3">
        <f>+J132*(1+J133)</f>
        <v>41</v>
      </c>
      <c r="L132" s="3">
        <f>+K132*(1+K133)</f>
        <v>41</v>
      </c>
      <c r="M132" s="3">
        <f>+L132*(1+L133)</f>
        <v>41</v>
      </c>
      <c r="N132" s="3">
        <f>+M132*(1+M133)</f>
        <v>41</v>
      </c>
    </row>
    <row r="133" spans="1:14" x14ac:dyDescent="0.25">
      <c r="A133" s="42" t="s">
        <v>144</v>
      </c>
      <c r="B133" t="str">
        <f>IFERROR(B132/A132-1,"nm")</f>
        <v>nm</v>
      </c>
      <c r="C133" s="45">
        <f>C132/B132-1</f>
        <v>4.3478260869565188E-2</v>
      </c>
      <c r="J133" s="45">
        <v>0</v>
      </c>
      <c r="K133" s="45">
        <v>0</v>
      </c>
      <c r="L133" s="45">
        <v>0</v>
      </c>
      <c r="M133" s="45">
        <v>0</v>
      </c>
      <c r="N133" s="45">
        <v>0</v>
      </c>
    </row>
    <row r="134" spans="1:14" x14ac:dyDescent="0.25">
      <c r="A134" s="42" t="s">
        <v>150</v>
      </c>
      <c r="B134" s="45">
        <f t="shared" ref="B134:N134" si="84">B132/B115</f>
        <v>1.4998369742419302E-2</v>
      </c>
      <c r="C134" s="45">
        <f t="shared" si="84"/>
        <v>1.2681638044914135E-2</v>
      </c>
      <c r="D134" s="45">
        <f t="shared" si="84"/>
        <v>1.2744866650932263E-2</v>
      </c>
      <c r="E134" s="45">
        <f t="shared" si="84"/>
        <v>1.090767432800935E-2</v>
      </c>
      <c r="F134" s="45">
        <f t="shared" si="84"/>
        <v>8.0541237113402053E-3</v>
      </c>
      <c r="G134" s="45">
        <f t="shared" si="84"/>
        <v>6.5878125467884411E-3</v>
      </c>
      <c r="H134" s="45">
        <f t="shared" si="84"/>
        <v>5.5488540410132689E-3</v>
      </c>
      <c r="I134" s="45">
        <f t="shared" si="84"/>
        <v>5.4326222340002651E-3</v>
      </c>
      <c r="J134" s="45">
        <f t="shared" si="84"/>
        <v>5.96746234528451E-3</v>
      </c>
      <c r="K134" s="45">
        <f t="shared" si="84"/>
        <v>6.554957313158684E-3</v>
      </c>
      <c r="L134" s="45">
        <f t="shared" si="84"/>
        <v>7.2002909932536762E-3</v>
      </c>
      <c r="M134" s="45">
        <f t="shared" si="84"/>
        <v>7.9091575903104516E-3</v>
      </c>
      <c r="N134" s="45">
        <f t="shared" si="84"/>
        <v>8.6878119019045495E-3</v>
      </c>
    </row>
    <row r="135" spans="1:14" x14ac:dyDescent="0.25">
      <c r="A135" s="42" t="s">
        <v>162</v>
      </c>
      <c r="B135" s="45">
        <f t="shared" ref="B135:N135" si="85">B132/B142</f>
        <v>0.18110236220472442</v>
      </c>
      <c r="C135" s="45">
        <f t="shared" si="85"/>
        <v>0.20512820512820512</v>
      </c>
      <c r="D135" s="45">
        <f t="shared" si="85"/>
        <v>0.24</v>
      </c>
      <c r="E135" s="45">
        <f t="shared" si="85"/>
        <v>0.21875</v>
      </c>
      <c r="F135" s="45">
        <f t="shared" si="85"/>
        <v>0.2109704641350211</v>
      </c>
      <c r="G135" s="45">
        <f t="shared" si="85"/>
        <v>0.20560747663551401</v>
      </c>
      <c r="H135" s="45">
        <f t="shared" si="85"/>
        <v>0.15972222222222221</v>
      </c>
      <c r="I135" s="45">
        <f t="shared" si="85"/>
        <v>0.13531353135313531</v>
      </c>
      <c r="J135" s="45">
        <f t="shared" si="85"/>
        <v>0.13531353135313531</v>
      </c>
      <c r="K135" s="45">
        <f t="shared" si="85"/>
        <v>0.13531353135313531</v>
      </c>
      <c r="L135" s="45">
        <f t="shared" si="85"/>
        <v>0.13531353135313531</v>
      </c>
      <c r="M135" s="45">
        <f t="shared" si="85"/>
        <v>0.13531353135313531</v>
      </c>
      <c r="N135" s="45">
        <f t="shared" si="85"/>
        <v>0.13531353135313531</v>
      </c>
    </row>
    <row r="136" spans="1:14" x14ac:dyDescent="0.25">
      <c r="A136" s="10" t="s">
        <v>151</v>
      </c>
      <c r="B136" s="51">
        <f>+Historicals!B136</f>
        <v>993</v>
      </c>
      <c r="C136" s="51">
        <f>+Historicals!C136</f>
        <v>1372</v>
      </c>
      <c r="D136" s="51">
        <f>+Historicals!D136</f>
        <v>1507</v>
      </c>
      <c r="E136" s="51">
        <f>+Historicals!E136</f>
        <v>1807</v>
      </c>
      <c r="F136" s="51">
        <f>+Historicals!F136</f>
        <v>2376</v>
      </c>
      <c r="G136" s="51">
        <f>+Historicals!G136</f>
        <v>2490</v>
      </c>
      <c r="H136" s="51">
        <f>+Historicals!H136</f>
        <v>3243</v>
      </c>
      <c r="I136" s="51">
        <f>+Historicals!I136</f>
        <v>2365</v>
      </c>
      <c r="J136" s="44">
        <f>+I136*(1+I137)</f>
        <v>1724.7070613629355</v>
      </c>
      <c r="K136" s="44">
        <f>+J136*(1+J137)</f>
        <v>1724.7070613629355</v>
      </c>
      <c r="L136" s="44">
        <f>+K136*(1+K137)</f>
        <v>1724.7070613629355</v>
      </c>
      <c r="M136" s="44">
        <f>+L136*(1+L137)</f>
        <v>1724.7070613629355</v>
      </c>
      <c r="N136" s="44">
        <f>+M136*(1+M137)</f>
        <v>1724.7070613629355</v>
      </c>
    </row>
    <row r="137" spans="1:14" x14ac:dyDescent="0.25">
      <c r="A137" s="42" t="s">
        <v>144</v>
      </c>
      <c r="B137" t="str">
        <f>IFERROR(B136/A136-1,"nm")</f>
        <v>nm</v>
      </c>
      <c r="C137" s="45">
        <f t="shared" ref="C137:I137" si="86">C136/B136-1</f>
        <v>0.38167170191339372</v>
      </c>
      <c r="D137" s="45">
        <f t="shared" si="86"/>
        <v>9.8396501457725938E-2</v>
      </c>
      <c r="E137" s="45">
        <f t="shared" si="86"/>
        <v>0.19907100199071004</v>
      </c>
      <c r="F137" s="45">
        <f t="shared" si="86"/>
        <v>0.31488655229662421</v>
      </c>
      <c r="G137" s="45">
        <f t="shared" si="86"/>
        <v>4.7979797979798011E-2</v>
      </c>
      <c r="H137" s="45">
        <f t="shared" si="86"/>
        <v>0.30240963855421676</v>
      </c>
      <c r="I137" s="45">
        <f t="shared" si="86"/>
        <v>-0.27073697193956214</v>
      </c>
      <c r="J137" s="45">
        <v>0</v>
      </c>
      <c r="K137" s="45">
        <v>0</v>
      </c>
      <c r="L137" s="45">
        <v>0</v>
      </c>
      <c r="M137" s="45">
        <v>0</v>
      </c>
      <c r="N137" s="45">
        <v>0</v>
      </c>
    </row>
    <row r="138" spans="1:14" x14ac:dyDescent="0.25">
      <c r="A138" s="42" t="s">
        <v>147</v>
      </c>
      <c r="B138" s="45">
        <f t="shared" ref="B138:N138" si="87">B136/B115</f>
        <v>0.3237691555265732</v>
      </c>
      <c r="C138" s="45">
        <f t="shared" si="87"/>
        <v>0.36248348745046233</v>
      </c>
      <c r="D138" s="45">
        <f t="shared" si="87"/>
        <v>0.35567618598064671</v>
      </c>
      <c r="E138" s="45">
        <f t="shared" si="87"/>
        <v>0.35196727697701596</v>
      </c>
      <c r="F138" s="45">
        <f t="shared" si="87"/>
        <v>0.38273195876288657</v>
      </c>
      <c r="G138" s="45">
        <f t="shared" si="87"/>
        <v>0.37281030094325496</v>
      </c>
      <c r="H138" s="45">
        <f t="shared" si="87"/>
        <v>0.39119420989143544</v>
      </c>
      <c r="I138" s="45">
        <f t="shared" si="87"/>
        <v>0.31336955081489332</v>
      </c>
      <c r="J138" s="45">
        <f t="shared" si="87"/>
        <v>0.25102742549584434</v>
      </c>
      <c r="K138" s="45">
        <f t="shared" si="87"/>
        <v>0.27574100402286333</v>
      </c>
      <c r="L138" s="45">
        <f t="shared" si="87"/>
        <v>0.30288762731542829</v>
      </c>
      <c r="M138" s="45">
        <f t="shared" si="87"/>
        <v>0.33270682793757789</v>
      </c>
      <c r="N138" s="45">
        <f t="shared" si="87"/>
        <v>0.36546172036604224</v>
      </c>
    </row>
    <row r="139" spans="1:14" x14ac:dyDescent="0.25">
      <c r="A139" s="10" t="s">
        <v>153</v>
      </c>
      <c r="B139" s="51">
        <v>69</v>
      </c>
      <c r="C139" s="51">
        <v>44</v>
      </c>
      <c r="D139" s="51">
        <v>51</v>
      </c>
      <c r="E139" s="51">
        <v>76</v>
      </c>
      <c r="F139" s="51">
        <v>49</v>
      </c>
      <c r="G139" s="51">
        <v>28</v>
      </c>
      <c r="H139" s="51">
        <v>94</v>
      </c>
      <c r="I139" s="51">
        <v>78</v>
      </c>
      <c r="J139" s="44">
        <f>+I139*(1+I140)</f>
        <v>64.723404255319153</v>
      </c>
      <c r="K139" s="44">
        <f>+J139*(1+J140)</f>
        <v>64.723404255319153</v>
      </c>
      <c r="L139" s="44">
        <f>+K139*(1+K140)</f>
        <v>64.723404255319153</v>
      </c>
      <c r="M139" s="44">
        <f>+L139*(1+L140)</f>
        <v>64.723404255319153</v>
      </c>
      <c r="N139" s="44">
        <f>+M139*(1+M140)</f>
        <v>64.723404255319153</v>
      </c>
    </row>
    <row r="140" spans="1:14" x14ac:dyDescent="0.25">
      <c r="A140" s="42" t="s">
        <v>144</v>
      </c>
      <c r="B140" t="str">
        <f>IFERROR(B139/A139-1,"nm")</f>
        <v>nm</v>
      </c>
      <c r="C140" s="45">
        <f t="shared" ref="C140:I140" si="88">C139/B139-1</f>
        <v>-0.3623188405797102</v>
      </c>
      <c r="D140" s="45">
        <f t="shared" si="88"/>
        <v>0.15909090909090917</v>
      </c>
      <c r="E140" s="45">
        <f t="shared" si="88"/>
        <v>0.49019607843137258</v>
      </c>
      <c r="F140" s="45">
        <f t="shared" si="88"/>
        <v>-0.35526315789473684</v>
      </c>
      <c r="G140" s="45">
        <f t="shared" si="88"/>
        <v>-0.4285714285714286</v>
      </c>
      <c r="H140" s="45">
        <f t="shared" si="88"/>
        <v>2.3571428571428572</v>
      </c>
      <c r="I140" s="45">
        <f t="shared" si="88"/>
        <v>-0.17021276595744683</v>
      </c>
      <c r="J140" s="45">
        <v>0</v>
      </c>
      <c r="K140" s="45">
        <v>0</v>
      </c>
      <c r="L140" s="45">
        <v>0</v>
      </c>
      <c r="M140" s="45">
        <v>0</v>
      </c>
      <c r="N140" s="45">
        <v>0</v>
      </c>
    </row>
    <row r="141" spans="1:14" x14ac:dyDescent="0.25">
      <c r="A141" s="42" t="s">
        <v>150</v>
      </c>
      <c r="B141" s="45">
        <f t="shared" ref="B141:N141" si="89">B139/B115</f>
        <v>2.2497554613628953E-2</v>
      </c>
      <c r="C141" s="45">
        <f t="shared" si="89"/>
        <v>1.1624834874504624E-2</v>
      </c>
      <c r="D141" s="45">
        <f t="shared" si="89"/>
        <v>1.2036818503658248E-2</v>
      </c>
      <c r="E141" s="45">
        <f t="shared" si="89"/>
        <v>1.4803272302298403E-2</v>
      </c>
      <c r="F141" s="45">
        <f t="shared" si="89"/>
        <v>7.8930412371134018E-3</v>
      </c>
      <c r="G141" s="45">
        <f t="shared" si="89"/>
        <v>4.1922443479562805E-3</v>
      </c>
      <c r="H141" s="45">
        <f t="shared" si="89"/>
        <v>1.1338962605548853E-2</v>
      </c>
      <c r="I141" s="45">
        <f t="shared" si="89"/>
        <v>1.0335232542732211E-2</v>
      </c>
      <c r="J141" s="45">
        <f t="shared" si="89"/>
        <v>9.4203531159083968E-3</v>
      </c>
      <c r="K141" s="45">
        <f t="shared" si="89"/>
        <v>1.0347784196486102E-2</v>
      </c>
      <c r="L141" s="45">
        <f t="shared" si="89"/>
        <v>1.1366520602738808E-2</v>
      </c>
      <c r="M141" s="45">
        <f t="shared" si="89"/>
        <v>1.248555131796803E-2</v>
      </c>
      <c r="N141" s="45">
        <f t="shared" si="89"/>
        <v>1.3714750288320521E-2</v>
      </c>
    </row>
    <row r="142" spans="1:14" x14ac:dyDescent="0.25">
      <c r="A142" s="10" t="s">
        <v>155</v>
      </c>
      <c r="B142" s="51">
        <f>+Historicals!B147</f>
        <v>254</v>
      </c>
      <c r="C142" s="51">
        <f>+Historicals!C147</f>
        <v>234</v>
      </c>
      <c r="D142" s="51">
        <f>+Historicals!D147</f>
        <v>225</v>
      </c>
      <c r="E142" s="51">
        <f>+Historicals!E147</f>
        <v>256</v>
      </c>
      <c r="F142" s="51">
        <f>+Historicals!F147</f>
        <v>237</v>
      </c>
      <c r="G142" s="51">
        <f>+Historicals!G147</f>
        <v>214</v>
      </c>
      <c r="H142" s="51">
        <f>+Historicals!H147</f>
        <v>288</v>
      </c>
      <c r="I142" s="51">
        <f>+Historicals!I147</f>
        <v>303</v>
      </c>
      <c r="J142" s="3">
        <f>+I142*(1+I143)</f>
        <v>303</v>
      </c>
      <c r="K142" s="3">
        <f>+J142*(1+J143)</f>
        <v>303</v>
      </c>
      <c r="L142" s="3">
        <f>+K142*(1+K143)</f>
        <v>303</v>
      </c>
      <c r="M142" s="3">
        <f>+L142*(1+L143)</f>
        <v>303</v>
      </c>
      <c r="N142" s="3">
        <f>+M142*(1+M143)</f>
        <v>303</v>
      </c>
    </row>
    <row r="143" spans="1:14" x14ac:dyDescent="0.25">
      <c r="A143" s="42" t="s">
        <v>144</v>
      </c>
      <c r="B143" t="str">
        <f>IFERROR(B142/A142-1,"nm")</f>
        <v>nm</v>
      </c>
      <c r="C143" s="45">
        <f>C142/B142-1</f>
        <v>-7.8740157480314932E-2</v>
      </c>
      <c r="J143" s="45">
        <v>0</v>
      </c>
      <c r="K143" s="45">
        <v>0</v>
      </c>
      <c r="L143" s="45">
        <v>0</v>
      </c>
      <c r="M143" s="45">
        <v>0</v>
      </c>
      <c r="N143" s="45">
        <v>0</v>
      </c>
    </row>
    <row r="144" spans="1:14" x14ac:dyDescent="0.25">
      <c r="A144" s="42" t="s">
        <v>150</v>
      </c>
      <c r="B144" s="45">
        <f t="shared" ref="B144:N144" si="90">B142/B115</f>
        <v>8.2817085099445714E-2</v>
      </c>
      <c r="C144" s="45">
        <f t="shared" si="90"/>
        <v>6.1822985468956405E-2</v>
      </c>
      <c r="D144" s="45">
        <f t="shared" si="90"/>
        <v>5.31036110455511E-2</v>
      </c>
      <c r="E144" s="45">
        <f t="shared" si="90"/>
        <v>4.9863654070899883E-2</v>
      </c>
      <c r="F144" s="45">
        <f t="shared" si="90"/>
        <v>3.817654639175258E-2</v>
      </c>
      <c r="G144" s="45">
        <f t="shared" si="90"/>
        <v>3.2040724659380147E-2</v>
      </c>
      <c r="H144" s="45">
        <f t="shared" si="90"/>
        <v>3.4740651387213509E-2</v>
      </c>
      <c r="I144" s="45">
        <f t="shared" si="90"/>
        <v>4.0148403339075128E-2</v>
      </c>
      <c r="J144" s="45">
        <f t="shared" si="90"/>
        <v>4.4101002210273327E-2</v>
      </c>
      <c r="K144" s="45">
        <f t="shared" si="90"/>
        <v>4.8442733314319052E-2</v>
      </c>
      <c r="L144" s="45">
        <f t="shared" si="90"/>
        <v>5.3211906608679603E-2</v>
      </c>
      <c r="M144" s="45">
        <f t="shared" si="90"/>
        <v>5.8450603655221138E-2</v>
      </c>
      <c r="N144" s="45">
        <f t="shared" si="90"/>
        <v>6.4205048933587291E-2</v>
      </c>
    </row>
    <row r="145" spans="1:15" x14ac:dyDescent="0.25">
      <c r="A145" s="46" t="s">
        <v>121</v>
      </c>
      <c r="B145" s="46"/>
      <c r="C145" s="46"/>
      <c r="D145" s="46"/>
      <c r="E145" s="46"/>
      <c r="F145" s="46"/>
      <c r="G145" s="46"/>
      <c r="H145" s="46"/>
      <c r="I145" s="46"/>
      <c r="J145" s="39"/>
      <c r="K145" s="39"/>
      <c r="L145" s="39"/>
      <c r="M145" s="39"/>
      <c r="N145" s="39"/>
    </row>
    <row r="146" spans="1:15" x14ac:dyDescent="0.25">
      <c r="A146" s="10" t="s">
        <v>157</v>
      </c>
      <c r="B146" s="3">
        <f t="shared" ref="B146:I146" si="91">B148+B152+B156</f>
        <v>4653</v>
      </c>
      <c r="C146" s="3">
        <f t="shared" si="91"/>
        <v>4317</v>
      </c>
      <c r="D146" s="3">
        <f t="shared" si="91"/>
        <v>4737</v>
      </c>
      <c r="E146" s="3">
        <f t="shared" si="91"/>
        <v>5166</v>
      </c>
      <c r="F146" s="3">
        <f t="shared" si="91"/>
        <v>5254</v>
      </c>
      <c r="G146" s="3">
        <f t="shared" si="91"/>
        <v>5028</v>
      </c>
      <c r="H146" s="3">
        <f t="shared" si="91"/>
        <v>5343</v>
      </c>
      <c r="I146" s="3">
        <f t="shared" si="91"/>
        <v>5955</v>
      </c>
      <c r="J146" s="3">
        <f>+I146*(1.1)</f>
        <v>6550.5000000000009</v>
      </c>
      <c r="K146" s="44">
        <f>+J146*(1.1)</f>
        <v>7205.550000000002</v>
      </c>
      <c r="L146" s="44">
        <f>+K146*(1.1)</f>
        <v>7926.1050000000032</v>
      </c>
      <c r="M146" s="44">
        <f>+L146*(1.1)</f>
        <v>8718.7155000000039</v>
      </c>
      <c r="N146" s="44">
        <f>+M146*(1.1)</f>
        <v>9590.5870500000055</v>
      </c>
    </row>
    <row r="147" spans="1:15" x14ac:dyDescent="0.25">
      <c r="A147" s="47" t="s">
        <v>144</v>
      </c>
      <c r="B147" s="53">
        <f>+Historicals!B191</f>
        <v>-1.4194915254237288E-2</v>
      </c>
      <c r="C147" s="53">
        <f>+Historicals!C191</f>
        <v>-7.2211476466795613E-2</v>
      </c>
      <c r="D147" s="53">
        <f>+Historicals!D191</f>
        <v>9.7289784572619872E-2</v>
      </c>
      <c r="E147" s="53">
        <f>+Historicals!E191</f>
        <v>9.0563647878404055E-2</v>
      </c>
      <c r="F147" s="53">
        <f>+Historicals!F191</f>
        <v>1.7034456058846303E-2</v>
      </c>
      <c r="G147" s="53">
        <f>+Historicals!G191</f>
        <v>-4.3014845831747243E-2</v>
      </c>
      <c r="H147" s="53">
        <f>+Historicals!H191</f>
        <v>6.2649164677804292E-2</v>
      </c>
      <c r="I147" s="53">
        <f>+Historicals!I191</f>
        <v>0.11454239191465469</v>
      </c>
      <c r="J147" s="45">
        <f>J146/I146-1</f>
        <v>0.10000000000000009</v>
      </c>
      <c r="K147" s="45">
        <f>K146/J146-1</f>
        <v>0.10000000000000009</v>
      </c>
      <c r="L147" s="45">
        <f>L146/K146-1</f>
        <v>0.10000000000000009</v>
      </c>
      <c r="M147" s="45">
        <f>M146/L146-1</f>
        <v>0.10000000000000009</v>
      </c>
      <c r="N147" s="45">
        <f>N146/M146-1</f>
        <v>0.10000000000000009</v>
      </c>
    </row>
    <row r="148" spans="1:15" x14ac:dyDescent="0.25">
      <c r="A148" s="48" t="s">
        <v>116</v>
      </c>
      <c r="B148">
        <f>+Historicals!B120</f>
        <v>3093</v>
      </c>
      <c r="C148">
        <f>+Historicals!C120</f>
        <v>2930</v>
      </c>
      <c r="D148">
        <f>+Historicals!D120</f>
        <v>3285</v>
      </c>
      <c r="E148">
        <f>+Historicals!E120</f>
        <v>3575</v>
      </c>
      <c r="F148">
        <f>+Historicals!F120</f>
        <v>3622</v>
      </c>
      <c r="G148">
        <f>+Historicals!G120</f>
        <v>3449</v>
      </c>
      <c r="H148" s="18">
        <f>+Historicals!H120</f>
        <v>3659</v>
      </c>
      <c r="I148" s="18">
        <f>+Historicals!I120</f>
        <v>4111</v>
      </c>
      <c r="J148" s="57">
        <f>+I148*(1+I149)</f>
        <v>4618.8360207707019</v>
      </c>
      <c r="K148" s="57">
        <f>+J148*(1+J149)</f>
        <v>5189.4055428773854</v>
      </c>
      <c r="L148" s="57">
        <f>+K148*(1+K149)</f>
        <v>5830.4580996908799</v>
      </c>
      <c r="M148" s="57">
        <f>+L148*(1+L149)</f>
        <v>6550.7005323392195</v>
      </c>
      <c r="N148" s="57">
        <f>+M148*(1+M149)</f>
        <v>7359.9152469107757</v>
      </c>
    </row>
    <row r="149" spans="1:15" x14ac:dyDescent="0.25">
      <c r="A149" s="47" t="s">
        <v>144</v>
      </c>
      <c r="B149" t="str">
        <f>IFERROR(B148/A148-1,"nm")</f>
        <v>nm</v>
      </c>
      <c r="C149" s="45">
        <f t="shared" ref="C149:N149" si="92">C148/B148-1</f>
        <v>-5.269964435822827E-2</v>
      </c>
      <c r="D149" s="45">
        <f t="shared" si="92"/>
        <v>0.12116040955631391</v>
      </c>
      <c r="E149" s="45">
        <f t="shared" si="92"/>
        <v>8.8280060882800715E-2</v>
      </c>
      <c r="F149" s="45">
        <f t="shared" si="92"/>
        <v>1.3146853146853044E-2</v>
      </c>
      <c r="G149" s="45">
        <f t="shared" si="92"/>
        <v>-4.7763666482606326E-2</v>
      </c>
      <c r="H149" s="45">
        <f t="shared" si="92"/>
        <v>6.0887213685126174E-2</v>
      </c>
      <c r="I149" s="45">
        <f t="shared" si="92"/>
        <v>0.12353101940420874</v>
      </c>
      <c r="J149" s="45">
        <f t="shared" si="92"/>
        <v>0.12353101940420874</v>
      </c>
      <c r="K149" s="45">
        <f t="shared" si="92"/>
        <v>0.12353101940420874</v>
      </c>
      <c r="L149" s="45">
        <f t="shared" si="92"/>
        <v>0.12353101940420874</v>
      </c>
      <c r="M149" s="45">
        <f t="shared" si="92"/>
        <v>0.12353101940420874</v>
      </c>
      <c r="N149" s="45">
        <f t="shared" si="92"/>
        <v>0.12353101940420874</v>
      </c>
    </row>
    <row r="150" spans="1:15" x14ac:dyDescent="0.25">
      <c r="A150" s="47" t="s">
        <v>158</v>
      </c>
      <c r="B150" s="53">
        <f>+Historicals!B192</f>
        <v>1.376597836774828E-2</v>
      </c>
      <c r="C150" s="53">
        <f>+Historicals!C192</f>
        <v>-5.2699644358228256E-2</v>
      </c>
      <c r="D150" s="53">
        <f>+Historicals!D192</f>
        <v>0.12116040955631399</v>
      </c>
      <c r="E150" s="53">
        <f>+Historicals!E192</f>
        <v>8.8280060882800604E-2</v>
      </c>
      <c r="F150" s="53">
        <f>+Historicals!F192</f>
        <v>1.3146853146853148E-2</v>
      </c>
      <c r="G150" s="53">
        <f>+Historicals!G192</f>
        <v>-4.7763666482606291E-2</v>
      </c>
      <c r="H150" s="53">
        <f>+Historicals!H192</f>
        <v>6.0887213685126125E-2</v>
      </c>
      <c r="I150" s="53">
        <f>+Historicals!I192</f>
        <v>0.1235310194042088</v>
      </c>
      <c r="J150" s="45">
        <v>7.0000000000000007E-2</v>
      </c>
      <c r="K150" s="45">
        <v>0.08</v>
      </c>
      <c r="L150" s="45">
        <v>0.09</v>
      </c>
      <c r="M150" s="45">
        <v>0.1</v>
      </c>
      <c r="N150" s="45">
        <v>0.11</v>
      </c>
      <c r="O150" t="s">
        <v>168</v>
      </c>
    </row>
    <row r="151" spans="1:15" x14ac:dyDescent="0.25">
      <c r="A151" s="47" t="s">
        <v>160</v>
      </c>
      <c r="B151" t="str">
        <f>IFERROR(B149-B150,"nm")</f>
        <v>nm</v>
      </c>
      <c r="C151" s="45">
        <f t="shared" ref="C151:N151" si="93">C149-C150</f>
        <v>0</v>
      </c>
      <c r="D151" s="45">
        <f t="shared" si="93"/>
        <v>0</v>
      </c>
      <c r="E151" s="45">
        <f t="shared" si="93"/>
        <v>1.1102230246251565E-16</v>
      </c>
      <c r="F151" s="45">
        <f t="shared" si="93"/>
        <v>-1.0408340855860843E-16</v>
      </c>
      <c r="G151" s="45">
        <f t="shared" si="93"/>
        <v>0</v>
      </c>
      <c r="H151" s="45">
        <f t="shared" si="93"/>
        <v>0</v>
      </c>
      <c r="I151" s="45">
        <f t="shared" si="93"/>
        <v>0</v>
      </c>
      <c r="J151" s="45">
        <f t="shared" si="93"/>
        <v>5.3531019404208735E-2</v>
      </c>
      <c r="K151" s="45">
        <f t="shared" si="93"/>
        <v>4.353101940420874E-2</v>
      </c>
      <c r="L151" s="45">
        <f t="shared" si="93"/>
        <v>3.3531019404208745E-2</v>
      </c>
      <c r="M151" s="45">
        <f t="shared" si="93"/>
        <v>2.3531019404208736E-2</v>
      </c>
      <c r="N151" s="45">
        <f t="shared" si="93"/>
        <v>1.3531019404208741E-2</v>
      </c>
    </row>
    <row r="152" spans="1:15" x14ac:dyDescent="0.25">
      <c r="A152" s="48" t="s">
        <v>117</v>
      </c>
      <c r="B152">
        <f>+Historicals!B121</f>
        <v>1251</v>
      </c>
      <c r="C152">
        <f>+Historicals!C121</f>
        <v>1117</v>
      </c>
      <c r="D152">
        <f>+Historicals!D121</f>
        <v>1185</v>
      </c>
      <c r="E152">
        <f>+Historicals!E121</f>
        <v>1347</v>
      </c>
      <c r="F152">
        <f>+Historicals!F121</f>
        <v>1395</v>
      </c>
      <c r="G152">
        <f>+Historicals!G121</f>
        <v>1365</v>
      </c>
      <c r="H152" s="18">
        <f>+Historicals!H121</f>
        <v>1494</v>
      </c>
      <c r="I152" s="18">
        <f>+Historicals!I121</f>
        <v>1610</v>
      </c>
      <c r="J152">
        <f>+I152*(1+I153)</f>
        <v>1610</v>
      </c>
      <c r="K152">
        <f>+J152*(1+J153)</f>
        <v>1610</v>
      </c>
      <c r="L152">
        <f>+K152*(1+K153)</f>
        <v>1610</v>
      </c>
      <c r="M152">
        <f>+L152*(1+L153)</f>
        <v>1610</v>
      </c>
      <c r="N152">
        <f>+M152*(1+M153)</f>
        <v>1610</v>
      </c>
    </row>
    <row r="153" spans="1:15" x14ac:dyDescent="0.25">
      <c r="A153" s="47" t="s">
        <v>144</v>
      </c>
      <c r="B153" t="str">
        <f>IFERROR(B152/A152-1,"nm")</f>
        <v>nm</v>
      </c>
      <c r="C153" s="45">
        <f>C152/B152-1</f>
        <v>-0.10711430855315751</v>
      </c>
    </row>
    <row r="154" spans="1:15" x14ac:dyDescent="0.25">
      <c r="A154" s="47" t="s">
        <v>158</v>
      </c>
      <c r="B154" s="53">
        <f>+Historicals!B193</f>
        <v>-6.4323111443530298E-2</v>
      </c>
      <c r="C154" s="53">
        <f>+Historicals!C193</f>
        <v>-0.10711430855315747</v>
      </c>
      <c r="D154" s="53">
        <f>+Historicals!D193</f>
        <v>6.087735004476276E-2</v>
      </c>
      <c r="E154" s="53">
        <f>+Historicals!E193</f>
        <v>0.13670886075949368</v>
      </c>
      <c r="F154" s="53">
        <f>+Historicals!F193</f>
        <v>3.5634743875278395E-2</v>
      </c>
      <c r="G154" s="53">
        <f>+Historicals!G193</f>
        <v>-2.1505376344086023E-2</v>
      </c>
      <c r="H154" s="53">
        <f>+Historicals!H193</f>
        <v>9.4505494505494503E-2</v>
      </c>
      <c r="I154" s="53">
        <f>+Historicals!I193</f>
        <v>7.7643908969210168E-2</v>
      </c>
      <c r="J154" s="45">
        <v>0.04</v>
      </c>
      <c r="K154" s="45">
        <v>0.05</v>
      </c>
      <c r="L154" s="45">
        <v>0.06</v>
      </c>
      <c r="M154" s="45">
        <v>7.0000000000000007E-2</v>
      </c>
      <c r="N154" s="45">
        <v>0.08</v>
      </c>
    </row>
    <row r="155" spans="1:15" x14ac:dyDescent="0.25">
      <c r="A155" s="47" t="s">
        <v>160</v>
      </c>
      <c r="B155" t="str">
        <f>IFERROR(B153-B154,"nm")</f>
        <v>nm</v>
      </c>
      <c r="C155" s="45">
        <f t="shared" ref="C155:N155" si="94">C153-C154</f>
        <v>0</v>
      </c>
      <c r="D155" s="45">
        <f t="shared" si="94"/>
        <v>-6.087735004476276E-2</v>
      </c>
      <c r="E155" s="45">
        <f t="shared" si="94"/>
        <v>-0.13670886075949368</v>
      </c>
      <c r="F155" s="45">
        <f t="shared" si="94"/>
        <v>-3.5634743875278395E-2</v>
      </c>
      <c r="G155" s="45">
        <f t="shared" si="94"/>
        <v>2.1505376344086023E-2</v>
      </c>
      <c r="H155" s="45">
        <f t="shared" si="94"/>
        <v>-9.4505494505494503E-2</v>
      </c>
      <c r="I155" s="45">
        <f t="shared" si="94"/>
        <v>-7.7643908969210168E-2</v>
      </c>
      <c r="J155" s="45">
        <f t="shared" si="94"/>
        <v>-0.04</v>
      </c>
      <c r="K155" s="45">
        <f t="shared" si="94"/>
        <v>-0.05</v>
      </c>
      <c r="L155" s="45">
        <f t="shared" si="94"/>
        <v>-0.06</v>
      </c>
      <c r="M155" s="45">
        <f t="shared" si="94"/>
        <v>-7.0000000000000007E-2</v>
      </c>
      <c r="N155" s="45">
        <f t="shared" si="94"/>
        <v>-0.08</v>
      </c>
    </row>
    <row r="156" spans="1:15" x14ac:dyDescent="0.25">
      <c r="A156" s="48" t="s">
        <v>118</v>
      </c>
      <c r="B156">
        <f>+Historicals!B122</f>
        <v>309</v>
      </c>
      <c r="C156">
        <f>+Historicals!C122</f>
        <v>270</v>
      </c>
      <c r="D156">
        <f>+Historicals!D122</f>
        <v>267</v>
      </c>
      <c r="E156">
        <f>+Historicals!E122</f>
        <v>244</v>
      </c>
      <c r="F156">
        <f>+Historicals!F122</f>
        <v>237</v>
      </c>
      <c r="G156">
        <f>+Historicals!G122</f>
        <v>214</v>
      </c>
      <c r="H156">
        <f>+Historicals!H122</f>
        <v>190</v>
      </c>
      <c r="I156">
        <f>+Historicals!I122</f>
        <v>234</v>
      </c>
      <c r="J156">
        <f>+I156*(1+I157)</f>
        <v>234</v>
      </c>
      <c r="K156">
        <f>+J156*(1+J157)</f>
        <v>234</v>
      </c>
      <c r="L156">
        <f>+K156*(1+K157)</f>
        <v>234</v>
      </c>
      <c r="M156">
        <f>+L156*(1+L157)</f>
        <v>234</v>
      </c>
      <c r="N156">
        <f>+M156*(1+M157)</f>
        <v>234</v>
      </c>
    </row>
    <row r="157" spans="1:15" x14ac:dyDescent="0.25">
      <c r="A157" s="47" t="s">
        <v>144</v>
      </c>
      <c r="B157" t="str">
        <f>IFERROR(B156/A156-1,"nm")</f>
        <v>nm</v>
      </c>
      <c r="C157" s="45">
        <f>C156/B156-1</f>
        <v>-0.12621359223300976</v>
      </c>
    </row>
    <row r="158" spans="1:15" x14ac:dyDescent="0.25">
      <c r="A158" s="47" t="s">
        <v>158</v>
      </c>
      <c r="B158" s="53">
        <f>+Historicals!B194</f>
        <v>-6.9277108433734941E-2</v>
      </c>
      <c r="C158" s="53">
        <f>+Historicals!C194</f>
        <v>-0.12621359223300971</v>
      </c>
      <c r="D158" s="53">
        <f>+Historicals!D194</f>
        <v>-1.1111111111111112E-2</v>
      </c>
      <c r="E158" s="53">
        <f>+Historicals!E194</f>
        <v>-8.6142322097378279E-2</v>
      </c>
      <c r="F158" s="53">
        <f>+Historicals!F194</f>
        <v>-2.8688524590163935E-2</v>
      </c>
      <c r="G158" s="53">
        <f>+Historicals!G194</f>
        <v>-9.7046413502109699E-2</v>
      </c>
      <c r="H158" s="53">
        <f>+Historicals!H194</f>
        <v>-0.11214953271028037</v>
      </c>
      <c r="I158" s="53">
        <f>+Historicals!I194</f>
        <v>0.23157894736842105</v>
      </c>
      <c r="J158" s="45">
        <v>0</v>
      </c>
      <c r="K158" s="45">
        <v>0.01</v>
      </c>
      <c r="L158" s="45">
        <v>0.02</v>
      </c>
      <c r="M158" s="45">
        <v>0.03</v>
      </c>
      <c r="N158" s="45">
        <v>0.04</v>
      </c>
    </row>
    <row r="159" spans="1:15" x14ac:dyDescent="0.25">
      <c r="A159" s="47" t="s">
        <v>160</v>
      </c>
      <c r="B159" t="str">
        <f>IFERROR(B157-B158,"nm")</f>
        <v>nm</v>
      </c>
      <c r="C159" s="45">
        <f t="shared" ref="C159:N159" si="95">C157-C158</f>
        <v>0</v>
      </c>
      <c r="D159" s="45">
        <f t="shared" si="95"/>
        <v>1.1111111111111112E-2</v>
      </c>
      <c r="E159" s="45">
        <f t="shared" si="95"/>
        <v>8.6142322097378279E-2</v>
      </c>
      <c r="F159" s="45">
        <f t="shared" si="95"/>
        <v>2.8688524590163935E-2</v>
      </c>
      <c r="G159" s="45">
        <f t="shared" si="95"/>
        <v>9.7046413502109699E-2</v>
      </c>
      <c r="H159" s="45">
        <f t="shared" si="95"/>
        <v>0.11214953271028037</v>
      </c>
      <c r="I159" s="45">
        <f t="shared" si="95"/>
        <v>-0.23157894736842105</v>
      </c>
      <c r="J159" s="45">
        <f t="shared" si="95"/>
        <v>0</v>
      </c>
      <c r="K159" s="45">
        <f t="shared" si="95"/>
        <v>-0.01</v>
      </c>
      <c r="L159" s="45">
        <f t="shared" si="95"/>
        <v>-0.02</v>
      </c>
      <c r="M159" s="45">
        <f t="shared" si="95"/>
        <v>-0.03</v>
      </c>
      <c r="N159" s="45">
        <f t="shared" si="95"/>
        <v>-0.04</v>
      </c>
    </row>
    <row r="160" spans="1:15" x14ac:dyDescent="0.25">
      <c r="A160" s="10" t="s">
        <v>145</v>
      </c>
      <c r="B160" s="3">
        <f t="shared" ref="B160:I160" si="96">B163+B167</f>
        <v>967</v>
      </c>
      <c r="C160" s="3">
        <f t="shared" si="96"/>
        <v>1044</v>
      </c>
      <c r="D160" s="3">
        <f t="shared" si="96"/>
        <v>1034</v>
      </c>
      <c r="E160" s="3">
        <f t="shared" si="96"/>
        <v>1244</v>
      </c>
      <c r="F160" s="3">
        <f t="shared" si="96"/>
        <v>1376</v>
      </c>
      <c r="G160" s="3">
        <f t="shared" si="96"/>
        <v>1230</v>
      </c>
      <c r="H160" s="3">
        <f t="shared" si="96"/>
        <v>1573</v>
      </c>
      <c r="I160" s="3">
        <f t="shared" si="96"/>
        <v>1938</v>
      </c>
      <c r="J160" s="3">
        <f>+I160*(1+I161)</f>
        <v>1938</v>
      </c>
      <c r="K160" s="3">
        <f>+J160*(1+J161)</f>
        <v>1938</v>
      </c>
      <c r="L160" s="3">
        <f>+K160*(1+K161)</f>
        <v>1938</v>
      </c>
      <c r="M160" s="3">
        <f>+L160*(1+L161)</f>
        <v>1938</v>
      </c>
      <c r="N160" s="3">
        <f>+M160*(1+M161)</f>
        <v>1938</v>
      </c>
    </row>
    <row r="161" spans="1:14" x14ac:dyDescent="0.25">
      <c r="A161" s="42" t="s">
        <v>144</v>
      </c>
      <c r="B161" t="str">
        <f>IFERROR(B160/A160-1,"nm")</f>
        <v>nm</v>
      </c>
      <c r="C161" s="45">
        <f>C160/B160-1</f>
        <v>7.962771458117901E-2</v>
      </c>
    </row>
    <row r="162" spans="1:14" x14ac:dyDescent="0.25">
      <c r="A162" s="42" t="s">
        <v>147</v>
      </c>
      <c r="B162" s="45">
        <f t="shared" ref="B162:N162" si="97">B160/B146</f>
        <v>0.20782290995056951</v>
      </c>
      <c r="C162" s="45">
        <f t="shared" si="97"/>
        <v>0.24183460736622656</v>
      </c>
      <c r="D162" s="45">
        <f t="shared" si="97"/>
        <v>0.21828161283512773</v>
      </c>
      <c r="E162" s="45">
        <f t="shared" si="97"/>
        <v>0.2408052651955091</v>
      </c>
      <c r="F162" s="45">
        <f t="shared" si="97"/>
        <v>0.26189569851541683</v>
      </c>
      <c r="G162" s="45">
        <f t="shared" si="97"/>
        <v>0.24463007159904535</v>
      </c>
      <c r="H162" s="45">
        <f t="shared" si="97"/>
        <v>0.2944038929440389</v>
      </c>
      <c r="I162" s="45">
        <f t="shared" si="97"/>
        <v>0.32544080604534004</v>
      </c>
      <c r="J162" s="45">
        <f t="shared" si="97"/>
        <v>0.29585527822303637</v>
      </c>
      <c r="K162" s="45">
        <f t="shared" si="97"/>
        <v>0.26895934383912395</v>
      </c>
      <c r="L162" s="45">
        <f t="shared" si="97"/>
        <v>0.24450849439920355</v>
      </c>
      <c r="M162" s="45">
        <f t="shared" si="97"/>
        <v>0.22228044945382139</v>
      </c>
      <c r="N162" s="45">
        <f t="shared" si="97"/>
        <v>0.20207313586711034</v>
      </c>
    </row>
    <row r="163" spans="1:14" x14ac:dyDescent="0.25">
      <c r="A163" s="10" t="s">
        <v>148</v>
      </c>
      <c r="B163" s="51">
        <f>+Historicals!B170</f>
        <v>49</v>
      </c>
      <c r="C163" s="51">
        <f>+Historicals!C170</f>
        <v>42</v>
      </c>
      <c r="D163" s="51">
        <f>+Historicals!D170</f>
        <v>54</v>
      </c>
      <c r="E163" s="51">
        <f>+Historicals!E170</f>
        <v>55</v>
      </c>
      <c r="F163" s="51">
        <f>+Historicals!F170</f>
        <v>53</v>
      </c>
      <c r="G163" s="51">
        <f>+Historicals!G170</f>
        <v>46</v>
      </c>
      <c r="H163" s="51">
        <f>+Historicals!H170</f>
        <v>43</v>
      </c>
      <c r="I163" s="51">
        <f>+Historicals!I170</f>
        <v>42</v>
      </c>
      <c r="J163" s="3">
        <f>+I163*(1+I164)</f>
        <v>42</v>
      </c>
      <c r="K163" s="3">
        <f>+J163*(1+J164)</f>
        <v>42</v>
      </c>
      <c r="L163" s="3">
        <f>+K163*(1+K164)</f>
        <v>42</v>
      </c>
      <c r="M163" s="3">
        <f>+L163*(1+L164)</f>
        <v>42</v>
      </c>
      <c r="N163" s="3">
        <f>+M163*(1+M164)</f>
        <v>42</v>
      </c>
    </row>
    <row r="164" spans="1:14" x14ac:dyDescent="0.25">
      <c r="A164" s="42" t="s">
        <v>144</v>
      </c>
      <c r="B164" t="str">
        <f>IFERROR(B163/A163-1,"nm")</f>
        <v>nm</v>
      </c>
      <c r="C164" s="45">
        <f>C163/B163-1</f>
        <v>-0.1428571428571429</v>
      </c>
    </row>
    <row r="165" spans="1:14" x14ac:dyDescent="0.25">
      <c r="A165" s="42" t="s">
        <v>150</v>
      </c>
      <c r="B165" s="45">
        <f t="shared" ref="B165:N165" si="98">B163/B146</f>
        <v>1.053084031807436E-2</v>
      </c>
      <c r="C165" s="45">
        <f t="shared" si="98"/>
        <v>9.7289784572619879E-3</v>
      </c>
      <c r="D165" s="45">
        <f t="shared" si="98"/>
        <v>1.1399620012666244E-2</v>
      </c>
      <c r="E165" s="45">
        <f t="shared" si="98"/>
        <v>1.064653503677894E-2</v>
      </c>
      <c r="F165" s="45">
        <f t="shared" si="98"/>
        <v>1.0087552341073468E-2</v>
      </c>
      <c r="G165" s="45">
        <f t="shared" si="98"/>
        <v>9.148766905330152E-3</v>
      </c>
      <c r="H165" s="45">
        <f t="shared" si="98"/>
        <v>8.0479131574022079E-3</v>
      </c>
      <c r="I165" s="45">
        <f t="shared" si="98"/>
        <v>7.0528967254408059E-3</v>
      </c>
      <c r="J165" s="45">
        <f t="shared" si="98"/>
        <v>6.4117242958552775E-3</v>
      </c>
      <c r="K165" s="45">
        <f t="shared" si="98"/>
        <v>5.8288402689593418E-3</v>
      </c>
      <c r="L165" s="45">
        <f t="shared" si="98"/>
        <v>5.2989456990539469E-3</v>
      </c>
      <c r="M165" s="45">
        <f t="shared" si="98"/>
        <v>4.8172233627763149E-3</v>
      </c>
      <c r="N165" s="45">
        <f t="shared" si="98"/>
        <v>4.3792939661602857E-3</v>
      </c>
    </row>
    <row r="166" spans="1:14" x14ac:dyDescent="0.25">
      <c r="A166" s="42" t="s">
        <v>162</v>
      </c>
      <c r="B166" s="45">
        <f t="shared" ref="B166:N166" si="99">B163/B173</f>
        <v>0.15909090909090909</v>
      </c>
      <c r="C166" s="45">
        <f t="shared" si="99"/>
        <v>0.12650602409638553</v>
      </c>
      <c r="D166" s="45">
        <f t="shared" si="99"/>
        <v>0.1588235294117647</v>
      </c>
      <c r="E166" s="45">
        <f t="shared" si="99"/>
        <v>0.16224188790560473</v>
      </c>
      <c r="F166" s="45">
        <f t="shared" si="99"/>
        <v>0.16257668711656442</v>
      </c>
      <c r="G166" s="45">
        <f t="shared" si="99"/>
        <v>0.1554054054054054</v>
      </c>
      <c r="H166" s="45">
        <f t="shared" si="99"/>
        <v>0.14144736842105263</v>
      </c>
      <c r="I166" s="45">
        <f t="shared" si="99"/>
        <v>0.15328467153284672</v>
      </c>
      <c r="J166" s="45">
        <f t="shared" si="99"/>
        <v>0.15328467153284672</v>
      </c>
      <c r="K166" s="45">
        <f t="shared" si="99"/>
        <v>0.15328467153284672</v>
      </c>
      <c r="L166" s="45">
        <f t="shared" si="99"/>
        <v>0.15328467153284672</v>
      </c>
      <c r="M166" s="45">
        <f t="shared" si="99"/>
        <v>0.15328467153284672</v>
      </c>
      <c r="N166" s="45">
        <f t="shared" si="99"/>
        <v>0.15328467153284672</v>
      </c>
    </row>
    <row r="167" spans="1:14" x14ac:dyDescent="0.25">
      <c r="A167" s="10" t="s">
        <v>151</v>
      </c>
      <c r="B167" s="51">
        <f>+Historicals!B137</f>
        <v>918</v>
      </c>
      <c r="C167" s="51">
        <f>+Historicals!C137</f>
        <v>1002</v>
      </c>
      <c r="D167" s="51">
        <f>+Historicals!D137</f>
        <v>980</v>
      </c>
      <c r="E167" s="51">
        <f>+Historicals!E137</f>
        <v>1189</v>
      </c>
      <c r="F167" s="51">
        <f>+Historicals!F137</f>
        <v>1323</v>
      </c>
      <c r="G167" s="51">
        <f>+Historicals!G137</f>
        <v>1184</v>
      </c>
      <c r="H167" s="51">
        <f>+Historicals!H137</f>
        <v>1530</v>
      </c>
      <c r="I167" s="51">
        <f>+Historicals!I137</f>
        <v>1896</v>
      </c>
      <c r="J167" s="3">
        <f>+I167*(1+I168)</f>
        <v>1896</v>
      </c>
      <c r="K167" s="3">
        <f>+J167*(1+J168)</f>
        <v>1896</v>
      </c>
      <c r="L167" s="3">
        <f>+K167*(1+K168)</f>
        <v>1896</v>
      </c>
      <c r="M167" s="3">
        <f>+L167*(1+L168)</f>
        <v>1896</v>
      </c>
      <c r="N167" s="3">
        <f>+M167*(1+M168)</f>
        <v>1896</v>
      </c>
    </row>
    <row r="168" spans="1:14" x14ac:dyDescent="0.25">
      <c r="A168" s="42" t="s">
        <v>144</v>
      </c>
      <c r="B168" t="str">
        <f>IFERROR(B167/A167-1,"nm")</f>
        <v>nm</v>
      </c>
      <c r="C168" s="45">
        <f>C167/B167-1</f>
        <v>9.1503267973856106E-2</v>
      </c>
    </row>
    <row r="169" spans="1:14" x14ac:dyDescent="0.25">
      <c r="A169" s="42" t="s">
        <v>147</v>
      </c>
      <c r="B169" s="45">
        <f t="shared" ref="B169:N169" si="100">B167/B146</f>
        <v>0.19729206963249515</v>
      </c>
      <c r="C169" s="45">
        <f t="shared" si="100"/>
        <v>0.23210562890896455</v>
      </c>
      <c r="D169" s="45">
        <f t="shared" si="100"/>
        <v>0.20688199282246147</v>
      </c>
      <c r="E169" s="45">
        <f t="shared" si="100"/>
        <v>0.23015873015873015</v>
      </c>
      <c r="F169" s="45">
        <f t="shared" si="100"/>
        <v>0.25180814617434338</v>
      </c>
      <c r="G169" s="45">
        <f t="shared" si="100"/>
        <v>0.2354813046937152</v>
      </c>
      <c r="H169" s="45">
        <f t="shared" si="100"/>
        <v>0.28635597978663674</v>
      </c>
      <c r="I169" s="45">
        <f t="shared" si="100"/>
        <v>0.31838790931989924</v>
      </c>
      <c r="J169" s="45">
        <f t="shared" si="100"/>
        <v>0.28944355392718107</v>
      </c>
      <c r="K169" s="45">
        <f t="shared" si="100"/>
        <v>0.2631305035701646</v>
      </c>
      <c r="L169" s="45">
        <f t="shared" si="100"/>
        <v>0.2392095487001496</v>
      </c>
      <c r="M169" s="45">
        <f t="shared" si="100"/>
        <v>0.21746322609104507</v>
      </c>
      <c r="N169" s="45">
        <f t="shared" si="100"/>
        <v>0.19769384190095005</v>
      </c>
    </row>
    <row r="170" spans="1:14" x14ac:dyDescent="0.25">
      <c r="A170" s="10" t="s">
        <v>153</v>
      </c>
      <c r="B170" s="51">
        <v>52</v>
      </c>
      <c r="C170" s="51">
        <v>64</v>
      </c>
      <c r="D170" s="51">
        <v>59</v>
      </c>
      <c r="E170" s="51">
        <v>49</v>
      </c>
      <c r="F170" s="51">
        <v>47</v>
      </c>
      <c r="G170" s="51">
        <v>41</v>
      </c>
      <c r="H170" s="51">
        <v>54</v>
      </c>
      <c r="I170" s="51">
        <v>56</v>
      </c>
      <c r="J170" s="3">
        <f>+I170*(1+I171)</f>
        <v>56</v>
      </c>
      <c r="K170" s="3">
        <f>+J170*(1+J171)</f>
        <v>56</v>
      </c>
      <c r="L170" s="3">
        <f>+K170*(1+K171)</f>
        <v>56</v>
      </c>
      <c r="M170" s="3">
        <f>+L170*(1+L171)</f>
        <v>56</v>
      </c>
      <c r="N170" s="3">
        <f>+M170*(1+M171)</f>
        <v>56</v>
      </c>
    </row>
    <row r="171" spans="1:14" x14ac:dyDescent="0.25">
      <c r="A171" s="42" t="s">
        <v>144</v>
      </c>
      <c r="B171" t="str">
        <f>IFERROR(B170/A170-1,"nm")</f>
        <v>nm</v>
      </c>
      <c r="C171" s="45">
        <f>C170/B170-1</f>
        <v>0.23076923076923084</v>
      </c>
    </row>
    <row r="172" spans="1:14" x14ac:dyDescent="0.25">
      <c r="A172" s="42" t="s">
        <v>150</v>
      </c>
      <c r="B172" s="45">
        <f t="shared" ref="B172:N172" si="101">B170/B146</f>
        <v>1.117558564367075E-2</v>
      </c>
      <c r="C172" s="45">
        <f t="shared" si="101"/>
        <v>1.4825110030113504E-2</v>
      </c>
      <c r="D172" s="45">
        <f t="shared" si="101"/>
        <v>1.2455140384209416E-2</v>
      </c>
      <c r="E172" s="45">
        <f t="shared" si="101"/>
        <v>9.485094850948509E-3</v>
      </c>
      <c r="F172" s="45">
        <f t="shared" si="101"/>
        <v>8.9455652835934533E-3</v>
      </c>
      <c r="G172" s="45">
        <f t="shared" si="101"/>
        <v>8.1543357199681775E-3</v>
      </c>
      <c r="H172" s="45">
        <f t="shared" si="101"/>
        <v>1.0106681639528355E-2</v>
      </c>
      <c r="I172" s="45">
        <f t="shared" si="101"/>
        <v>9.4038623005877411E-3</v>
      </c>
      <c r="J172" s="45">
        <f t="shared" si="101"/>
        <v>8.5489657278070372E-3</v>
      </c>
      <c r="K172" s="45">
        <f t="shared" si="101"/>
        <v>7.771787025279123E-3</v>
      </c>
      <c r="L172" s="45">
        <f t="shared" si="101"/>
        <v>7.0652609320719295E-3</v>
      </c>
      <c r="M172" s="45">
        <f t="shared" si="101"/>
        <v>6.4229644837017538E-3</v>
      </c>
      <c r="N172" s="45">
        <f t="shared" si="101"/>
        <v>5.8390586215470476E-3</v>
      </c>
    </row>
    <row r="173" spans="1:14" x14ac:dyDescent="0.25">
      <c r="A173" s="10" t="s">
        <v>155</v>
      </c>
      <c r="B173" s="51">
        <f>+Historicals!B148</f>
        <v>308</v>
      </c>
      <c r="C173" s="51">
        <f>+Historicals!C148</f>
        <v>332</v>
      </c>
      <c r="D173" s="51">
        <f>+Historicals!D148</f>
        <v>340</v>
      </c>
      <c r="E173" s="51">
        <f>+Historicals!E148</f>
        <v>339</v>
      </c>
      <c r="F173" s="51">
        <f>+Historicals!F148</f>
        <v>326</v>
      </c>
      <c r="G173" s="51">
        <f>+Historicals!G148</f>
        <v>296</v>
      </c>
      <c r="H173" s="51">
        <f>+Historicals!H148</f>
        <v>304</v>
      </c>
      <c r="I173" s="51">
        <f>+Historicals!I148</f>
        <v>274</v>
      </c>
      <c r="J173" s="3">
        <f>+I173*(1+I174)</f>
        <v>274</v>
      </c>
      <c r="K173" s="3">
        <f>+J173*(1+J174)</f>
        <v>274</v>
      </c>
      <c r="L173" s="3">
        <f>+K173*(1+K174)</f>
        <v>274</v>
      </c>
      <c r="M173" s="3">
        <f>+L173*(1+L174)</f>
        <v>274</v>
      </c>
      <c r="N173" s="3">
        <f>+M173*(1+M174)</f>
        <v>274</v>
      </c>
    </row>
    <row r="174" spans="1:14" x14ac:dyDescent="0.25">
      <c r="A174" s="42" t="s">
        <v>144</v>
      </c>
      <c r="B174" t="str">
        <f>IFERROR(B173/A173-1,"nm")</f>
        <v>nm</v>
      </c>
      <c r="C174" s="45">
        <f>C173/B173-1</f>
        <v>7.7922077922077948E-2</v>
      </c>
    </row>
    <row r="175" spans="1:14" x14ac:dyDescent="0.25">
      <c r="A175" s="42" t="s">
        <v>150</v>
      </c>
      <c r="B175" s="45">
        <f t="shared" ref="B175:N175" si="102">B173/B146</f>
        <v>6.6193853427895979E-2</v>
      </c>
      <c r="C175" s="45">
        <f t="shared" si="102"/>
        <v>7.6905258281213806E-2</v>
      </c>
      <c r="D175" s="45">
        <f t="shared" si="102"/>
        <v>7.1775385264935612E-2</v>
      </c>
      <c r="E175" s="45">
        <f t="shared" si="102"/>
        <v>6.5621370499419282E-2</v>
      </c>
      <c r="F175" s="45">
        <f t="shared" si="102"/>
        <v>6.2047963456414161E-2</v>
      </c>
      <c r="G175" s="45">
        <f t="shared" si="102"/>
        <v>5.88703261734288E-2</v>
      </c>
      <c r="H175" s="45">
        <f t="shared" si="102"/>
        <v>5.6896874415122589E-2</v>
      </c>
      <c r="I175" s="45">
        <f t="shared" si="102"/>
        <v>4.6011754827875735E-2</v>
      </c>
      <c r="J175" s="45">
        <f t="shared" si="102"/>
        <v>4.1828868025341574E-2</v>
      </c>
      <c r="K175" s="45">
        <f t="shared" si="102"/>
        <v>3.8026243659401424E-2</v>
      </c>
      <c r="L175" s="45">
        <f t="shared" si="102"/>
        <v>3.4569312417637652E-2</v>
      </c>
      <c r="M175" s="45">
        <f t="shared" si="102"/>
        <v>3.1426647652397867E-2</v>
      </c>
      <c r="N175" s="45">
        <f t="shared" si="102"/>
        <v>2.8569679683998057E-2</v>
      </c>
    </row>
    <row r="176" spans="1:14" x14ac:dyDescent="0.25">
      <c r="A176" s="46" t="s">
        <v>122</v>
      </c>
      <c r="B176" s="46"/>
      <c r="C176" s="46"/>
      <c r="D176" s="46"/>
      <c r="E176" s="46"/>
      <c r="F176" s="46"/>
      <c r="G176" s="46"/>
      <c r="H176" s="46"/>
      <c r="I176" s="46"/>
      <c r="J176" s="39"/>
      <c r="K176" s="39"/>
      <c r="L176" s="39"/>
      <c r="M176" s="39"/>
      <c r="N176" s="39"/>
    </row>
    <row r="177" spans="1:14" x14ac:dyDescent="0.25">
      <c r="A177" s="10" t="s">
        <v>157</v>
      </c>
      <c r="B177" s="51">
        <f>+Historicals!B123</f>
        <v>115</v>
      </c>
      <c r="C177" s="51">
        <f>+Historicals!C123</f>
        <v>73</v>
      </c>
      <c r="D177" s="51">
        <f>+Historicals!D123</f>
        <v>73</v>
      </c>
      <c r="E177" s="51">
        <f>+Historicals!E123</f>
        <v>88</v>
      </c>
      <c r="F177" s="51">
        <f>+Historicals!F123</f>
        <v>42</v>
      </c>
      <c r="G177" s="51">
        <f>+Historicals!G123</f>
        <v>30</v>
      </c>
      <c r="H177" s="51">
        <f>+Historicals!H123</f>
        <v>25</v>
      </c>
      <c r="I177" s="51">
        <f>+Historicals!I123</f>
        <v>102</v>
      </c>
      <c r="J177" s="52">
        <f>I177*(2.1)</f>
        <v>214.20000000000002</v>
      </c>
      <c r="K177" s="52">
        <f>J177*(1+J178)</f>
        <v>214.20000000000002</v>
      </c>
      <c r="L177" s="52">
        <f>K177*(1+K178)</f>
        <v>214.20000000000002</v>
      </c>
      <c r="M177" s="52">
        <f>L177*(1+L178)</f>
        <v>214.20000000000002</v>
      </c>
      <c r="N177" s="52">
        <f>M177*(1+M178)</f>
        <v>214.20000000000002</v>
      </c>
    </row>
    <row r="178" spans="1:14" x14ac:dyDescent="0.25">
      <c r="A178" s="47" t="s">
        <v>144</v>
      </c>
      <c r="B178" s="53">
        <f>+Historicals!B195</f>
        <v>-0.08</v>
      </c>
      <c r="C178" s="53">
        <f>+Historicals!C195</f>
        <v>-0.36521739130434783</v>
      </c>
      <c r="D178" s="53">
        <f>+Historicals!D195</f>
        <v>0</v>
      </c>
      <c r="E178" s="53">
        <f>+Historicals!E195</f>
        <v>0.20547945205479451</v>
      </c>
      <c r="F178" s="53">
        <f>+Historicals!F195</f>
        <v>-0.52272727272727271</v>
      </c>
      <c r="G178" s="53">
        <f>+Historicals!G195</f>
        <v>-0.2857142857142857</v>
      </c>
      <c r="H178" s="53">
        <f>+Historicals!H195</f>
        <v>-0.16666666666666666</v>
      </c>
      <c r="I178" s="53">
        <f>+Historicals!I195</f>
        <v>3.08</v>
      </c>
      <c r="J178" s="45">
        <v>0</v>
      </c>
      <c r="K178" s="45">
        <v>0</v>
      </c>
      <c r="L178" s="45">
        <v>0</v>
      </c>
      <c r="M178" s="45">
        <v>0</v>
      </c>
      <c r="N178" s="45">
        <v>0</v>
      </c>
    </row>
    <row r="179" spans="1:14" x14ac:dyDescent="0.25">
      <c r="A179" s="10" t="s">
        <v>145</v>
      </c>
      <c r="B179" s="3">
        <f t="shared" ref="B179:I179" si="103">B186+B182</f>
        <v>-2057</v>
      </c>
      <c r="C179" s="3">
        <f t="shared" si="103"/>
        <v>-2366</v>
      </c>
      <c r="D179" s="3">
        <f t="shared" si="103"/>
        <v>-2444</v>
      </c>
      <c r="E179" s="3">
        <f t="shared" si="103"/>
        <v>-2441</v>
      </c>
      <c r="F179" s="3">
        <f t="shared" si="103"/>
        <v>-3067</v>
      </c>
      <c r="G179" s="3">
        <f t="shared" si="103"/>
        <v>-3254</v>
      </c>
      <c r="H179" s="3">
        <f t="shared" si="103"/>
        <v>-3434</v>
      </c>
      <c r="I179" s="3">
        <f t="shared" si="103"/>
        <v>-4042</v>
      </c>
      <c r="J179" s="3">
        <f>+I179*(1+I180)</f>
        <v>-4042</v>
      </c>
      <c r="K179" s="3">
        <f>+J179*(1+J180)</f>
        <v>-4042</v>
      </c>
      <c r="L179" s="3">
        <f>+K179*(1+K180)</f>
        <v>-4042</v>
      </c>
      <c r="M179" s="3">
        <f>+L179*(1+L180)</f>
        <v>-4042</v>
      </c>
      <c r="N179" s="3">
        <f>+M179*(1+M180)</f>
        <v>-4042</v>
      </c>
    </row>
    <row r="180" spans="1:14" x14ac:dyDescent="0.25">
      <c r="A180" s="42" t="s">
        <v>144</v>
      </c>
      <c r="B180" t="str">
        <f>IFERROR(B179/A179-1,"nm")</f>
        <v>nm</v>
      </c>
      <c r="C180" s="45">
        <f>C179/B179-1</f>
        <v>0.15021876519202726</v>
      </c>
      <c r="J180" s="45">
        <v>0</v>
      </c>
      <c r="K180" s="45">
        <v>0</v>
      </c>
      <c r="L180" s="45">
        <v>0</v>
      </c>
      <c r="M180" s="45">
        <v>0</v>
      </c>
      <c r="N180" s="45">
        <v>0</v>
      </c>
    </row>
    <row r="181" spans="1:14" x14ac:dyDescent="0.25">
      <c r="A181" s="42" t="s">
        <v>147</v>
      </c>
      <c r="B181" s="45">
        <f t="shared" ref="B181:N181" si="104">B179/B177</f>
        <v>-17.88695652173913</v>
      </c>
      <c r="C181" s="45">
        <f t="shared" si="104"/>
        <v>-32.410958904109592</v>
      </c>
      <c r="D181" s="45">
        <f t="shared" si="104"/>
        <v>-33.479452054794521</v>
      </c>
      <c r="E181" s="45">
        <f t="shared" si="104"/>
        <v>-27.738636363636363</v>
      </c>
      <c r="F181" s="45">
        <f t="shared" si="104"/>
        <v>-73.023809523809518</v>
      </c>
      <c r="G181" s="45">
        <f t="shared" si="104"/>
        <v>-108.46666666666667</v>
      </c>
      <c r="H181" s="45">
        <f t="shared" si="104"/>
        <v>-137.36000000000001</v>
      </c>
      <c r="I181" s="45">
        <f t="shared" si="104"/>
        <v>-39.627450980392155</v>
      </c>
      <c r="J181" s="45">
        <f t="shared" si="104"/>
        <v>-18.870214752567691</v>
      </c>
      <c r="K181" s="45">
        <f t="shared" si="104"/>
        <v>-18.870214752567691</v>
      </c>
      <c r="L181" s="45">
        <f t="shared" si="104"/>
        <v>-18.870214752567691</v>
      </c>
      <c r="M181" s="45">
        <f t="shared" si="104"/>
        <v>-18.870214752567691</v>
      </c>
      <c r="N181" s="45">
        <f t="shared" si="104"/>
        <v>-18.870214752567691</v>
      </c>
    </row>
    <row r="182" spans="1:14" x14ac:dyDescent="0.25">
      <c r="A182" s="10" t="s">
        <v>148</v>
      </c>
      <c r="B182" s="51">
        <f>+Historicals!B171</f>
        <v>210</v>
      </c>
      <c r="C182" s="51">
        <f>+Historicals!C171</f>
        <v>230</v>
      </c>
      <c r="D182" s="51">
        <f>+Historicals!D171</f>
        <v>233</v>
      </c>
      <c r="E182" s="51">
        <f>+Historicals!E171</f>
        <v>217</v>
      </c>
      <c r="F182" s="51">
        <f>+Historicals!F171</f>
        <v>195</v>
      </c>
      <c r="G182" s="51">
        <f>+Historicals!G171</f>
        <v>214</v>
      </c>
      <c r="H182" s="51">
        <f>+Historicals!H171</f>
        <v>222</v>
      </c>
      <c r="I182" s="51">
        <f>+Historicals!I171</f>
        <v>220</v>
      </c>
      <c r="J182" s="3">
        <f>+I182*(1+I183)</f>
        <v>220</v>
      </c>
      <c r="K182" s="3">
        <f>+J182*(1+J183)</f>
        <v>220</v>
      </c>
      <c r="L182" s="3">
        <f>+K182*(1+K183)</f>
        <v>220</v>
      </c>
      <c r="M182" s="3">
        <f>+L182*(1+L183)</f>
        <v>220</v>
      </c>
      <c r="N182" s="3">
        <f>+M182*(1+M183)</f>
        <v>220</v>
      </c>
    </row>
    <row r="183" spans="1:14" x14ac:dyDescent="0.25">
      <c r="A183" s="42" t="s">
        <v>144</v>
      </c>
      <c r="B183" t="str">
        <f>IFERROR(B182/A182-1,"nm")</f>
        <v>nm</v>
      </c>
      <c r="C183" s="45">
        <f>C182/B182-1</f>
        <v>9.5238095238095344E-2</v>
      </c>
      <c r="J183" s="45">
        <v>0</v>
      </c>
      <c r="K183" s="45">
        <v>0</v>
      </c>
      <c r="L183" s="45">
        <v>0</v>
      </c>
      <c r="M183" s="45">
        <v>0</v>
      </c>
      <c r="N183" s="45">
        <v>0</v>
      </c>
    </row>
    <row r="184" spans="1:14" x14ac:dyDescent="0.25">
      <c r="A184" s="42" t="s">
        <v>150</v>
      </c>
      <c r="B184" s="45">
        <f t="shared" ref="B184:N184" si="105">B182/B177</f>
        <v>1.826086956521739</v>
      </c>
      <c r="C184" s="45">
        <f t="shared" si="105"/>
        <v>3.1506849315068495</v>
      </c>
      <c r="D184" s="45">
        <f t="shared" si="105"/>
        <v>3.1917808219178081</v>
      </c>
      <c r="E184" s="45">
        <f t="shared" si="105"/>
        <v>2.4659090909090908</v>
      </c>
      <c r="F184" s="45">
        <f t="shared" si="105"/>
        <v>4.6428571428571432</v>
      </c>
      <c r="G184" s="45">
        <f t="shared" si="105"/>
        <v>7.1333333333333337</v>
      </c>
      <c r="H184" s="45">
        <f t="shared" si="105"/>
        <v>8.8800000000000008</v>
      </c>
      <c r="I184" s="45">
        <f t="shared" si="105"/>
        <v>2.1568627450980391</v>
      </c>
      <c r="J184" s="45">
        <f t="shared" si="105"/>
        <v>1.0270774976657329</v>
      </c>
      <c r="K184" s="45">
        <f t="shared" si="105"/>
        <v>1.0270774976657329</v>
      </c>
      <c r="L184" s="45">
        <f t="shared" si="105"/>
        <v>1.0270774976657329</v>
      </c>
      <c r="M184" s="45">
        <f t="shared" si="105"/>
        <v>1.0270774976657329</v>
      </c>
      <c r="N184" s="45">
        <f t="shared" si="105"/>
        <v>1.0270774976657329</v>
      </c>
    </row>
    <row r="185" spans="1:14" x14ac:dyDescent="0.25">
      <c r="A185" s="42" t="s">
        <v>162</v>
      </c>
      <c r="B185" s="45">
        <f t="shared" ref="B185:N185" si="106">B182/B192</f>
        <v>0.43388429752066116</v>
      </c>
      <c r="C185" s="45">
        <f t="shared" si="106"/>
        <v>0.45009784735812131</v>
      </c>
      <c r="D185" s="45">
        <f t="shared" si="106"/>
        <v>0.43714821763602252</v>
      </c>
      <c r="E185" s="45">
        <f t="shared" si="106"/>
        <v>0.36348408710217756</v>
      </c>
      <c r="F185" s="45">
        <f t="shared" si="106"/>
        <v>0.2932330827067669</v>
      </c>
      <c r="G185" s="45">
        <f t="shared" si="106"/>
        <v>0.25783132530120484</v>
      </c>
      <c r="H185" s="45">
        <f t="shared" si="106"/>
        <v>0.2846153846153846</v>
      </c>
      <c r="I185" s="45">
        <f t="shared" si="106"/>
        <v>0.27883396704689478</v>
      </c>
      <c r="J185" s="45">
        <f t="shared" si="106"/>
        <v>0.27883396704689478</v>
      </c>
      <c r="K185" s="45">
        <f t="shared" si="106"/>
        <v>0.27883396704689478</v>
      </c>
      <c r="L185" s="45">
        <f t="shared" si="106"/>
        <v>0.27883396704689478</v>
      </c>
      <c r="M185" s="45">
        <f t="shared" si="106"/>
        <v>0.27883396704689478</v>
      </c>
      <c r="N185" s="45">
        <f t="shared" si="106"/>
        <v>0.27883396704689478</v>
      </c>
    </row>
    <row r="186" spans="1:14" x14ac:dyDescent="0.25">
      <c r="A186" s="10" t="s">
        <v>151</v>
      </c>
      <c r="B186" s="51">
        <f>+Historicals!B138</f>
        <v>-2267</v>
      </c>
      <c r="C186" s="51">
        <f>+Historicals!C138</f>
        <v>-2596</v>
      </c>
      <c r="D186" s="51">
        <f>+Historicals!D138</f>
        <v>-2677</v>
      </c>
      <c r="E186" s="51">
        <f>+Historicals!E138</f>
        <v>-2658</v>
      </c>
      <c r="F186" s="51">
        <f>+Historicals!F138</f>
        <v>-3262</v>
      </c>
      <c r="G186" s="51">
        <f>+Historicals!G138</f>
        <v>-3468</v>
      </c>
      <c r="H186" s="51">
        <f>+Historicals!H138</f>
        <v>-3656</v>
      </c>
      <c r="I186" s="51">
        <f>+Historicals!I138</f>
        <v>-4262</v>
      </c>
      <c r="J186" s="3">
        <f>+I186*(1+I187)</f>
        <v>-4262</v>
      </c>
      <c r="K186" s="3">
        <f>+J186*(1+J187)</f>
        <v>-4262</v>
      </c>
      <c r="L186" s="3">
        <f>+K186*(1+K187)</f>
        <v>-4262</v>
      </c>
      <c r="M186" s="3">
        <f>+L186*(1+L187)</f>
        <v>-4262</v>
      </c>
      <c r="N186" s="3">
        <f>+M186*(1+M187)</f>
        <v>-4262</v>
      </c>
    </row>
    <row r="187" spans="1:14" x14ac:dyDescent="0.25">
      <c r="A187" s="42" t="s">
        <v>144</v>
      </c>
      <c r="B187" t="str">
        <f>IFERROR(B186/A186-1,"nm")</f>
        <v>nm</v>
      </c>
      <c r="C187" s="45">
        <f>C186/B186-1</f>
        <v>0.145125716806352</v>
      </c>
    </row>
    <row r="188" spans="1:14" x14ac:dyDescent="0.25">
      <c r="A188" s="42" t="s">
        <v>147</v>
      </c>
      <c r="B188" s="45">
        <f t="shared" ref="B188:N188" si="107">B186/B177</f>
        <v>-19.713043478260868</v>
      </c>
      <c r="C188" s="45">
        <f t="shared" si="107"/>
        <v>-35.561643835616437</v>
      </c>
      <c r="D188" s="45">
        <f t="shared" si="107"/>
        <v>-36.671232876712331</v>
      </c>
      <c r="E188" s="45">
        <f t="shared" si="107"/>
        <v>-30.204545454545453</v>
      </c>
      <c r="F188" s="45">
        <f t="shared" si="107"/>
        <v>-77.666666666666671</v>
      </c>
      <c r="G188" s="45">
        <f t="shared" si="107"/>
        <v>-115.6</v>
      </c>
      <c r="H188" s="45">
        <f t="shared" si="107"/>
        <v>-146.24</v>
      </c>
      <c r="I188" s="45">
        <f t="shared" si="107"/>
        <v>-41.784313725490193</v>
      </c>
      <c r="J188" s="45">
        <f t="shared" si="107"/>
        <v>-19.897292250233424</v>
      </c>
      <c r="K188" s="45">
        <f t="shared" si="107"/>
        <v>-19.897292250233424</v>
      </c>
      <c r="L188" s="45">
        <f t="shared" si="107"/>
        <v>-19.897292250233424</v>
      </c>
      <c r="M188" s="45">
        <f t="shared" si="107"/>
        <v>-19.897292250233424</v>
      </c>
      <c r="N188" s="45">
        <f t="shared" si="107"/>
        <v>-19.897292250233424</v>
      </c>
    </row>
    <row r="189" spans="1:14" x14ac:dyDescent="0.25">
      <c r="A189" s="10" t="s">
        <v>153</v>
      </c>
      <c r="B189" s="51">
        <v>225</v>
      </c>
      <c r="C189" s="51">
        <v>258</v>
      </c>
      <c r="D189" s="51">
        <v>278</v>
      </c>
      <c r="E189" s="51">
        <v>286</v>
      </c>
      <c r="F189" s="51">
        <v>278</v>
      </c>
      <c r="G189" s="51">
        <v>438</v>
      </c>
      <c r="H189" s="51">
        <v>278</v>
      </c>
      <c r="I189" s="51">
        <v>222</v>
      </c>
      <c r="J189" s="3">
        <f>+I189*(1+I190)</f>
        <v>222</v>
      </c>
      <c r="K189" s="3">
        <f>+J189*(1+J190)</f>
        <v>222</v>
      </c>
      <c r="L189" s="3">
        <f>+K189*(1+K190)</f>
        <v>222</v>
      </c>
      <c r="M189" s="3">
        <f>+L189*(1+L190)</f>
        <v>222</v>
      </c>
      <c r="N189" s="3">
        <f>+M189*(1+M190)</f>
        <v>222</v>
      </c>
    </row>
    <row r="190" spans="1:14" x14ac:dyDescent="0.25">
      <c r="A190" s="42" t="s">
        <v>144</v>
      </c>
      <c r="B190" t="str">
        <f>IFERROR(B189/A189-1,"nm")</f>
        <v>nm</v>
      </c>
      <c r="C190" s="45">
        <f>C189/B189-1</f>
        <v>0.14666666666666672</v>
      </c>
    </row>
    <row r="191" spans="1:14" x14ac:dyDescent="0.25">
      <c r="A191" s="42" t="s">
        <v>150</v>
      </c>
      <c r="B191" s="45">
        <f t="shared" ref="B191:N191" si="108">B189/B177</f>
        <v>1.9565217391304348</v>
      </c>
      <c r="C191" s="45">
        <f t="shared" si="108"/>
        <v>3.5342465753424657</v>
      </c>
      <c r="D191" s="45">
        <f t="shared" si="108"/>
        <v>3.8082191780821919</v>
      </c>
      <c r="E191" s="45">
        <f t="shared" si="108"/>
        <v>3.25</v>
      </c>
      <c r="F191" s="45">
        <f t="shared" si="108"/>
        <v>6.6190476190476186</v>
      </c>
      <c r="G191" s="45">
        <f t="shared" si="108"/>
        <v>14.6</v>
      </c>
      <c r="H191" s="45">
        <f t="shared" si="108"/>
        <v>11.12</v>
      </c>
      <c r="I191" s="45">
        <f t="shared" si="108"/>
        <v>2.1764705882352939</v>
      </c>
      <c r="J191" s="45">
        <f t="shared" si="108"/>
        <v>1.0364145658263304</v>
      </c>
      <c r="K191" s="45">
        <f t="shared" si="108"/>
        <v>1.0364145658263304</v>
      </c>
      <c r="L191" s="45">
        <f t="shared" si="108"/>
        <v>1.0364145658263304</v>
      </c>
      <c r="M191" s="45">
        <f t="shared" si="108"/>
        <v>1.0364145658263304</v>
      </c>
      <c r="N191" s="45">
        <f t="shared" si="108"/>
        <v>1.0364145658263304</v>
      </c>
    </row>
    <row r="192" spans="1:14" x14ac:dyDescent="0.25">
      <c r="A192" s="10" t="s">
        <v>155</v>
      </c>
      <c r="B192" s="51">
        <f>+Historicals!B149</f>
        <v>484</v>
      </c>
      <c r="C192" s="51">
        <f>+Historicals!C149</f>
        <v>511</v>
      </c>
      <c r="D192" s="51">
        <f>+Historicals!D149</f>
        <v>533</v>
      </c>
      <c r="E192" s="51">
        <f>+Historicals!E149</f>
        <v>597</v>
      </c>
      <c r="F192" s="51">
        <f>+Historicals!F149</f>
        <v>665</v>
      </c>
      <c r="G192" s="51">
        <f>+Historicals!G149</f>
        <v>830</v>
      </c>
      <c r="H192" s="51">
        <f>+Historicals!H149</f>
        <v>780</v>
      </c>
      <c r="I192" s="51">
        <f>+Historicals!I149</f>
        <v>789</v>
      </c>
      <c r="J192" s="3">
        <f>+I192*(1+I193)</f>
        <v>789</v>
      </c>
      <c r="K192" s="3">
        <f>+J192*(1+J193)</f>
        <v>789</v>
      </c>
      <c r="L192" s="3">
        <f>+K192*(1+K193)</f>
        <v>789</v>
      </c>
      <c r="M192" s="3">
        <f>+L192*(1+L193)</f>
        <v>789</v>
      </c>
      <c r="N192" s="3">
        <f>+M192*(1+M193)</f>
        <v>789</v>
      </c>
    </row>
    <row r="193" spans="1:14" x14ac:dyDescent="0.25">
      <c r="A193" s="42" t="s">
        <v>144</v>
      </c>
      <c r="B193" t="str">
        <f>IFERROR(B192/A192-1,"nm")</f>
        <v>nm</v>
      </c>
      <c r="C193" s="45">
        <f>C192/B192-1</f>
        <v>5.5785123966942241E-2</v>
      </c>
    </row>
    <row r="194" spans="1:14" x14ac:dyDescent="0.25">
      <c r="A194" s="42" t="s">
        <v>150</v>
      </c>
      <c r="B194" s="45">
        <f t="shared" ref="B194:N194" si="109">B192/B177</f>
        <v>4.2086956521739127</v>
      </c>
      <c r="C194" s="45">
        <f t="shared" si="109"/>
        <v>7</v>
      </c>
      <c r="D194" s="45">
        <f t="shared" si="109"/>
        <v>7.3013698630136989</v>
      </c>
      <c r="E194" s="45">
        <f t="shared" si="109"/>
        <v>6.7840909090909092</v>
      </c>
      <c r="F194" s="45">
        <f t="shared" si="109"/>
        <v>15.833333333333334</v>
      </c>
      <c r="G194" s="45">
        <f t="shared" si="109"/>
        <v>27.666666666666668</v>
      </c>
      <c r="H194" s="45">
        <f t="shared" si="109"/>
        <v>31.2</v>
      </c>
      <c r="I194" s="45">
        <f t="shared" si="109"/>
        <v>7.7352941176470589</v>
      </c>
      <c r="J194" s="45">
        <f t="shared" si="109"/>
        <v>3.6834733893557421</v>
      </c>
      <c r="K194" s="45">
        <f t="shared" si="109"/>
        <v>3.6834733893557421</v>
      </c>
      <c r="L194" s="45">
        <f t="shared" si="109"/>
        <v>3.6834733893557421</v>
      </c>
      <c r="M194" s="45">
        <f t="shared" si="109"/>
        <v>3.6834733893557421</v>
      </c>
      <c r="N194" s="45">
        <f t="shared" si="109"/>
        <v>3.6834733893557421</v>
      </c>
    </row>
    <row r="195" spans="1:14" x14ac:dyDescent="0.25">
      <c r="A195" s="46" t="s">
        <v>126</v>
      </c>
      <c r="B195" s="46"/>
      <c r="C195" s="46"/>
      <c r="D195" s="46"/>
      <c r="E195" s="46"/>
      <c r="F195" s="46"/>
      <c r="G195" s="46"/>
      <c r="H195" s="46"/>
      <c r="I195" s="46"/>
      <c r="J195" s="39"/>
      <c r="K195" s="39"/>
      <c r="L195" s="39"/>
      <c r="M195" s="39"/>
      <c r="N195" s="39"/>
    </row>
    <row r="196" spans="1:14" x14ac:dyDescent="0.25">
      <c r="A196" s="10" t="s">
        <v>157</v>
      </c>
      <c r="B196" s="51">
        <f>+Historicals!B130</f>
        <v>-82</v>
      </c>
      <c r="C196" s="51">
        <f>+Historicals!C130</f>
        <v>-86</v>
      </c>
      <c r="D196" s="51">
        <f>+Historicals!D130</f>
        <v>75</v>
      </c>
      <c r="E196" s="51">
        <f>+Historicals!E130</f>
        <v>26</v>
      </c>
      <c r="F196" s="51">
        <f>+Historicals!F130</f>
        <v>-7</v>
      </c>
      <c r="G196" s="51">
        <f>+Historicals!G130</f>
        <v>-11</v>
      </c>
      <c r="H196" s="51">
        <f>+Historicals!H130</f>
        <v>40</v>
      </c>
      <c r="I196" s="51">
        <f>+Historicals!I130</f>
        <v>-72</v>
      </c>
      <c r="J196" s="3">
        <f>I196*(1+I197)</f>
        <v>129.6</v>
      </c>
      <c r="K196" s="3">
        <f>J196*(1+J197)</f>
        <v>129.6</v>
      </c>
      <c r="L196" s="3">
        <f>K196*(1+K197)</f>
        <v>129.6</v>
      </c>
      <c r="M196" s="3">
        <f>L196*(1+L197)</f>
        <v>129.6</v>
      </c>
      <c r="N196" s="3">
        <f>M196*(1+M197)</f>
        <v>129.6</v>
      </c>
    </row>
    <row r="197" spans="1:14" x14ac:dyDescent="0.25">
      <c r="A197" s="47" t="s">
        <v>144</v>
      </c>
      <c r="B197" s="53">
        <f>+Historicals!B202</f>
        <v>-28.333333333333332</v>
      </c>
      <c r="C197" s="53">
        <f>+Historicals!C202</f>
        <v>4.878048780487805E-2</v>
      </c>
      <c r="D197" s="53">
        <f>+Historicals!D202</f>
        <v>-1.8720930232558139</v>
      </c>
      <c r="E197" s="53">
        <f>+Historicals!E202</f>
        <v>-0.65333333333333332</v>
      </c>
      <c r="F197" s="53">
        <f>+Historicals!F202</f>
        <v>-1.2692307692307692</v>
      </c>
      <c r="G197" s="53">
        <f>+Historicals!G202</f>
        <v>0.5714285714285714</v>
      </c>
      <c r="H197" s="53">
        <f>+Historicals!H202</f>
        <v>-4.6363636363636367</v>
      </c>
      <c r="I197" s="53">
        <f>+Historicals!I202</f>
        <v>-2.8</v>
      </c>
      <c r="J197" s="45">
        <v>0</v>
      </c>
      <c r="K197" s="45">
        <v>0</v>
      </c>
      <c r="L197" s="45">
        <v>0</v>
      </c>
      <c r="M197" s="45">
        <v>0</v>
      </c>
      <c r="N197" s="45">
        <v>0</v>
      </c>
    </row>
    <row r="198" spans="1:14" x14ac:dyDescent="0.25">
      <c r="A198" s="10" t="s">
        <v>145</v>
      </c>
      <c r="B198" s="3">
        <f t="shared" ref="B198:I198" si="110">B204+B201</f>
        <v>-1022</v>
      </c>
      <c r="C198" s="3">
        <f t="shared" si="110"/>
        <v>-1089</v>
      </c>
      <c r="D198" s="3">
        <f t="shared" si="110"/>
        <v>-633</v>
      </c>
      <c r="E198" s="3">
        <f t="shared" si="110"/>
        <v>-1346</v>
      </c>
      <c r="F198" s="3">
        <f t="shared" si="110"/>
        <v>-1694</v>
      </c>
      <c r="G198" s="3">
        <f t="shared" si="110"/>
        <v>-1855</v>
      </c>
      <c r="H198" s="3">
        <f t="shared" si="110"/>
        <v>-2120</v>
      </c>
      <c r="I198" s="3">
        <f t="shared" si="110"/>
        <v>-2085</v>
      </c>
      <c r="J198" s="3">
        <f>+I198*(1+I199)</f>
        <v>-2085</v>
      </c>
      <c r="K198" s="3">
        <f>+J198*(1+J199)</f>
        <v>-2085</v>
      </c>
      <c r="L198" s="3">
        <f>+K198*(1+K199)</f>
        <v>-2085</v>
      </c>
      <c r="M198" s="3">
        <f>+L198*(1+L199)</f>
        <v>-2085</v>
      </c>
      <c r="N198" s="3">
        <f>+M198*(1+M199)</f>
        <v>-2085</v>
      </c>
    </row>
    <row r="199" spans="1:14" x14ac:dyDescent="0.25">
      <c r="A199" s="42" t="s">
        <v>144</v>
      </c>
      <c r="B199" t="str">
        <f>IFERROR(B198/A198-1,"nm")</f>
        <v>nm</v>
      </c>
      <c r="C199" s="45">
        <f>C198/B198-1</f>
        <v>6.5557729941291498E-2</v>
      </c>
      <c r="J199" s="45">
        <v>0</v>
      </c>
      <c r="K199" s="45">
        <v>0</v>
      </c>
      <c r="L199" s="45">
        <v>0</v>
      </c>
      <c r="M199" s="45">
        <v>0</v>
      </c>
      <c r="N199" s="45">
        <v>0</v>
      </c>
    </row>
    <row r="200" spans="1:14" x14ac:dyDescent="0.25">
      <c r="A200" s="42" t="s">
        <v>147</v>
      </c>
      <c r="B200" s="45">
        <f t="shared" ref="B200:N200" si="111">B198/B196</f>
        <v>12.463414634146341</v>
      </c>
      <c r="C200" s="45">
        <f t="shared" si="111"/>
        <v>12.662790697674419</v>
      </c>
      <c r="D200" s="45">
        <f t="shared" si="111"/>
        <v>-8.44</v>
      </c>
      <c r="E200" s="45">
        <f t="shared" si="111"/>
        <v>-51.769230769230766</v>
      </c>
      <c r="F200" s="45">
        <f t="shared" si="111"/>
        <v>242</v>
      </c>
      <c r="G200" s="45">
        <f t="shared" si="111"/>
        <v>168.63636363636363</v>
      </c>
      <c r="H200" s="45">
        <f t="shared" si="111"/>
        <v>-53</v>
      </c>
      <c r="I200" s="45">
        <f t="shared" si="111"/>
        <v>28.958333333333332</v>
      </c>
      <c r="J200" s="45">
        <f t="shared" si="111"/>
        <v>-16.087962962962962</v>
      </c>
      <c r="K200" s="45">
        <f t="shared" si="111"/>
        <v>-16.087962962962962</v>
      </c>
      <c r="L200" s="45">
        <f t="shared" si="111"/>
        <v>-16.087962962962962</v>
      </c>
      <c r="M200" s="45">
        <f t="shared" si="111"/>
        <v>-16.087962962962962</v>
      </c>
      <c r="N200" s="45">
        <f t="shared" si="111"/>
        <v>-16.087962962962962</v>
      </c>
    </row>
    <row r="201" spans="1:14" x14ac:dyDescent="0.25">
      <c r="A201" s="10" t="s">
        <v>148</v>
      </c>
      <c r="B201" s="51">
        <f>+Historicals!B174</f>
        <v>75</v>
      </c>
      <c r="C201" s="51">
        <f>+Historicals!C174</f>
        <v>84</v>
      </c>
      <c r="D201" s="51">
        <f>+Historicals!D174</f>
        <v>91</v>
      </c>
      <c r="E201" s="51">
        <f>+Historicals!E174</f>
        <v>110</v>
      </c>
      <c r="F201" s="51">
        <f>+Historicals!F174</f>
        <v>116</v>
      </c>
      <c r="G201" s="51">
        <f>+Historicals!G174</f>
        <v>112</v>
      </c>
      <c r="H201" s="51">
        <f>+Historicals!H174</f>
        <v>141</v>
      </c>
      <c r="I201" s="51">
        <f>+Historicals!I174</f>
        <v>134</v>
      </c>
      <c r="J201" s="3">
        <f>+I201*(1+I202)</f>
        <v>134</v>
      </c>
      <c r="K201" s="3">
        <f>+J201*(1+J202)</f>
        <v>134</v>
      </c>
      <c r="L201" s="3">
        <f>+K201*(1+K202)</f>
        <v>134</v>
      </c>
      <c r="M201" s="3">
        <f>+L201*(1+L202)</f>
        <v>134</v>
      </c>
      <c r="N201" s="3">
        <f>+M201*(1+M202)</f>
        <v>134</v>
      </c>
    </row>
    <row r="202" spans="1:14" x14ac:dyDescent="0.25">
      <c r="A202" s="42" t="s">
        <v>144</v>
      </c>
      <c r="B202" t="str">
        <f>IFERROR(B201/A201-1,"nm")</f>
        <v>nm</v>
      </c>
      <c r="C202" s="45">
        <f>C201/B201-1</f>
        <v>0.12000000000000011</v>
      </c>
      <c r="J202" s="45">
        <v>0</v>
      </c>
      <c r="K202" s="45">
        <v>0</v>
      </c>
      <c r="L202" s="45">
        <v>0</v>
      </c>
      <c r="M202" s="45">
        <v>0</v>
      </c>
      <c r="N202" s="45">
        <v>0</v>
      </c>
    </row>
    <row r="203" spans="1:14" x14ac:dyDescent="0.25">
      <c r="A203" s="42" t="s">
        <v>150</v>
      </c>
      <c r="B203" s="45">
        <f t="shared" ref="B203:N203" si="112">B201/B196</f>
        <v>-0.91463414634146345</v>
      </c>
      <c r="C203" s="45">
        <f t="shared" si="112"/>
        <v>-0.97674418604651159</v>
      </c>
      <c r="D203" s="45">
        <f t="shared" si="112"/>
        <v>1.2133333333333334</v>
      </c>
      <c r="E203" s="45">
        <f t="shared" si="112"/>
        <v>4.2307692307692308</v>
      </c>
      <c r="F203" s="45">
        <f t="shared" si="112"/>
        <v>-16.571428571428573</v>
      </c>
      <c r="G203" s="45">
        <f t="shared" si="112"/>
        <v>-10.181818181818182</v>
      </c>
      <c r="H203" s="45">
        <f t="shared" si="112"/>
        <v>3.5249999999999999</v>
      </c>
      <c r="I203" s="45">
        <f t="shared" si="112"/>
        <v>-1.8611111111111112</v>
      </c>
      <c r="J203" s="45">
        <f t="shared" si="112"/>
        <v>1.0339506172839508</v>
      </c>
      <c r="K203" s="45">
        <f t="shared" si="112"/>
        <v>1.0339506172839508</v>
      </c>
      <c r="L203" s="45">
        <f t="shared" si="112"/>
        <v>1.0339506172839508</v>
      </c>
      <c r="M203" s="45">
        <f t="shared" si="112"/>
        <v>1.0339506172839508</v>
      </c>
      <c r="N203" s="45">
        <f t="shared" si="112"/>
        <v>1.0339506172839508</v>
      </c>
    </row>
    <row r="204" spans="1:14" x14ac:dyDescent="0.25">
      <c r="A204" s="10" t="s">
        <v>151</v>
      </c>
      <c r="B204" s="51">
        <f>+Historicals!B141</f>
        <v>-1097</v>
      </c>
      <c r="C204" s="51">
        <f>+Historicals!C141</f>
        <v>-1173</v>
      </c>
      <c r="D204" s="51">
        <f>+Historicals!D141</f>
        <v>-724</v>
      </c>
      <c r="E204" s="51">
        <f>+Historicals!E141</f>
        <v>-1456</v>
      </c>
      <c r="F204" s="51">
        <f>+Historicals!F141</f>
        <v>-1810</v>
      </c>
      <c r="G204" s="51">
        <f>+Historicals!G141</f>
        <v>-1967</v>
      </c>
      <c r="H204" s="51">
        <f>+Historicals!H141</f>
        <v>-2261</v>
      </c>
      <c r="I204" s="51">
        <f>+Historicals!I141</f>
        <v>-2219</v>
      </c>
      <c r="J204" s="3">
        <f>+I204*(1+I205)</f>
        <v>-2219</v>
      </c>
      <c r="K204" s="3">
        <f>+J204*(1+J205)</f>
        <v>-2219</v>
      </c>
      <c r="L204" s="3">
        <f>+K204*(1+K205)</f>
        <v>-2219</v>
      </c>
      <c r="M204" s="3">
        <f>+L204*(1+L205)</f>
        <v>-2219</v>
      </c>
      <c r="N204" s="3">
        <f>+M204*(1+M205)</f>
        <v>-2219</v>
      </c>
    </row>
    <row r="205" spans="1:14" x14ac:dyDescent="0.25">
      <c r="A205" s="42" t="s">
        <v>144</v>
      </c>
      <c r="B205" t="str">
        <f>IFERROR(B204/A204-1,"nm")</f>
        <v>nm</v>
      </c>
      <c r="C205" s="45">
        <f>C204/B204-1</f>
        <v>6.9279854147675568E-2</v>
      </c>
      <c r="J205" s="45">
        <v>0</v>
      </c>
      <c r="K205" s="45">
        <v>0</v>
      </c>
      <c r="L205" s="45">
        <v>0</v>
      </c>
      <c r="M205" s="45">
        <v>0</v>
      </c>
      <c r="N205" s="45">
        <v>0</v>
      </c>
    </row>
    <row r="206" spans="1:14" x14ac:dyDescent="0.25">
      <c r="A206" s="42" t="s">
        <v>147</v>
      </c>
      <c r="B206" s="45">
        <f t="shared" ref="B206:N206" si="113">B204/B196</f>
        <v>13.378048780487806</v>
      </c>
      <c r="C206" s="45">
        <f t="shared" si="113"/>
        <v>13.63953488372093</v>
      </c>
      <c r="D206" s="45">
        <f t="shared" si="113"/>
        <v>-9.6533333333333342</v>
      </c>
      <c r="E206" s="45">
        <f t="shared" si="113"/>
        <v>-56</v>
      </c>
      <c r="F206" s="45">
        <f t="shared" si="113"/>
        <v>258.57142857142856</v>
      </c>
      <c r="G206" s="45">
        <f t="shared" si="113"/>
        <v>178.81818181818181</v>
      </c>
      <c r="H206" s="45">
        <f t="shared" si="113"/>
        <v>-56.524999999999999</v>
      </c>
      <c r="I206" s="45">
        <f t="shared" si="113"/>
        <v>30.819444444444443</v>
      </c>
      <c r="J206" s="45">
        <f t="shared" si="113"/>
        <v>-17.121913580246915</v>
      </c>
      <c r="K206" s="45">
        <f t="shared" si="113"/>
        <v>-17.121913580246915</v>
      </c>
      <c r="L206" s="45">
        <f t="shared" si="113"/>
        <v>-17.121913580246915</v>
      </c>
      <c r="M206" s="45">
        <f t="shared" si="113"/>
        <v>-17.121913580246915</v>
      </c>
      <c r="N206" s="45">
        <f t="shared" si="113"/>
        <v>-17.121913580246915</v>
      </c>
    </row>
    <row r="207" spans="1:14" x14ac:dyDescent="0.25">
      <c r="A207" s="10" t="s">
        <v>153</v>
      </c>
      <c r="B207" s="58">
        <v>144</v>
      </c>
      <c r="C207" s="58">
        <v>312</v>
      </c>
      <c r="D207" s="58">
        <v>387</v>
      </c>
      <c r="E207" s="58">
        <v>325</v>
      </c>
      <c r="F207" s="58">
        <v>333</v>
      </c>
      <c r="G207" s="58">
        <v>356</v>
      </c>
      <c r="H207" s="58">
        <v>107</v>
      </c>
      <c r="I207" s="58">
        <v>103</v>
      </c>
      <c r="J207" s="3">
        <f>+I207*(1+I208)</f>
        <v>103</v>
      </c>
      <c r="K207" s="3">
        <f>+J207*(1+J208)</f>
        <v>103</v>
      </c>
      <c r="L207" s="3">
        <f>+K207*(1+K208)</f>
        <v>103</v>
      </c>
      <c r="M207" s="3">
        <f>+L207*(1+L208)</f>
        <v>103</v>
      </c>
      <c r="N207" s="3">
        <f>+M207*(1+M208)</f>
        <v>103</v>
      </c>
    </row>
    <row r="208" spans="1:14" x14ac:dyDescent="0.25">
      <c r="A208" s="42" t="s">
        <v>144</v>
      </c>
      <c r="B208" t="str">
        <f>IFERROR(B207/A207-1,"nm")</f>
        <v>nm</v>
      </c>
      <c r="C208" s="45">
        <f>C207/B207-1</f>
        <v>1.1666666666666665</v>
      </c>
      <c r="J208" s="45">
        <v>0</v>
      </c>
      <c r="K208" s="45">
        <v>0</v>
      </c>
      <c r="L208" s="45">
        <v>0</v>
      </c>
      <c r="M208" s="45">
        <v>0</v>
      </c>
      <c r="N208" s="45">
        <v>0</v>
      </c>
    </row>
    <row r="209" spans="1:14" x14ac:dyDescent="0.25">
      <c r="A209" s="42" t="s">
        <v>150</v>
      </c>
      <c r="B209" s="45">
        <f t="shared" ref="B209:N209" si="114">B207/B196</f>
        <v>-1.7560975609756098</v>
      </c>
      <c r="C209" s="45">
        <f t="shared" si="114"/>
        <v>-3.6279069767441858</v>
      </c>
      <c r="D209" s="45">
        <f t="shared" si="114"/>
        <v>5.16</v>
      </c>
      <c r="E209" s="45">
        <f t="shared" si="114"/>
        <v>12.5</v>
      </c>
      <c r="F209" s="45">
        <f t="shared" si="114"/>
        <v>-47.571428571428569</v>
      </c>
      <c r="G209" s="45">
        <f t="shared" si="114"/>
        <v>-32.363636363636367</v>
      </c>
      <c r="H209" s="45">
        <f t="shared" si="114"/>
        <v>2.6749999999999998</v>
      </c>
      <c r="I209" s="45">
        <f t="shared" si="114"/>
        <v>-1.4305555555555556</v>
      </c>
      <c r="J209" s="45">
        <f t="shared" si="114"/>
        <v>0.79475308641975317</v>
      </c>
      <c r="K209" s="45">
        <f t="shared" si="114"/>
        <v>0.79475308641975317</v>
      </c>
      <c r="L209" s="45">
        <f t="shared" si="114"/>
        <v>0.79475308641975317</v>
      </c>
      <c r="M209" s="45">
        <f t="shared" si="114"/>
        <v>0.79475308641975317</v>
      </c>
      <c r="N209" s="45">
        <f t="shared" si="114"/>
        <v>0.79475308641975317</v>
      </c>
    </row>
    <row r="210" spans="1:14" x14ac:dyDescent="0.25">
      <c r="A210" s="10" t="s">
        <v>155</v>
      </c>
      <c r="B210" s="51">
        <f>+Historicals!B152</f>
        <v>713</v>
      </c>
      <c r="C210" s="51">
        <f>+Historicals!C152</f>
        <v>937</v>
      </c>
      <c r="D210" s="51">
        <f>+Historicals!D152</f>
        <v>1238</v>
      </c>
      <c r="E210" s="51">
        <f>+Historicals!E152</f>
        <v>1450</v>
      </c>
      <c r="F210" s="51">
        <f>+Historicals!F152</f>
        <v>1673</v>
      </c>
      <c r="G210" s="51">
        <f>+Historicals!G152</f>
        <v>1916</v>
      </c>
      <c r="H210" s="51">
        <f>+Historicals!H152</f>
        <v>1870</v>
      </c>
      <c r="I210" s="51">
        <f>+Historicals!I152</f>
        <v>1817</v>
      </c>
      <c r="J210" s="3">
        <f>+I210*(1+I211)</f>
        <v>1817</v>
      </c>
      <c r="K210" s="3">
        <f>+J210*(1+J211)</f>
        <v>1817</v>
      </c>
      <c r="L210" s="3">
        <f>+K210*(1+K211)</f>
        <v>1817</v>
      </c>
      <c r="M210" s="3">
        <f>+L210*(1+L211)</f>
        <v>1817</v>
      </c>
      <c r="N210" s="3">
        <f>+M210*(1+M211)</f>
        <v>1817</v>
      </c>
    </row>
    <row r="211" spans="1:14" x14ac:dyDescent="0.25">
      <c r="A211" s="42" t="s">
        <v>144</v>
      </c>
      <c r="B211" t="str">
        <f>IFERROR(B210/A210-1,"nm")</f>
        <v>nm</v>
      </c>
      <c r="C211" s="45">
        <f>C210/B210-1</f>
        <v>0.31416549789621318</v>
      </c>
      <c r="J211" s="45">
        <v>0</v>
      </c>
      <c r="K211" s="45">
        <v>0</v>
      </c>
      <c r="L211" s="45">
        <v>0</v>
      </c>
      <c r="M211" s="45">
        <v>0</v>
      </c>
      <c r="N211" s="45">
        <v>0</v>
      </c>
    </row>
    <row r="212" spans="1:14" x14ac:dyDescent="0.25">
      <c r="A212" s="42" t="s">
        <v>150</v>
      </c>
      <c r="B212" s="45">
        <f t="shared" ref="B212:N212" si="115">B210/B196</f>
        <v>-8.6951219512195124</v>
      </c>
      <c r="C212" s="45">
        <f t="shared" si="115"/>
        <v>-10.895348837209303</v>
      </c>
      <c r="D212" s="45">
        <f t="shared" si="115"/>
        <v>16.506666666666668</v>
      </c>
      <c r="E212" s="45">
        <f t="shared" si="115"/>
        <v>55.769230769230766</v>
      </c>
      <c r="F212" s="45">
        <f t="shared" si="115"/>
        <v>-239</v>
      </c>
      <c r="G212" s="45">
        <f t="shared" si="115"/>
        <v>-174.18181818181819</v>
      </c>
      <c r="H212" s="45">
        <f t="shared" si="115"/>
        <v>46.75</v>
      </c>
      <c r="I212" s="45">
        <f t="shared" si="115"/>
        <v>-25.236111111111111</v>
      </c>
      <c r="J212" s="45">
        <f t="shared" si="115"/>
        <v>14.020061728395062</v>
      </c>
      <c r="K212" s="45">
        <f t="shared" si="115"/>
        <v>14.020061728395062</v>
      </c>
      <c r="L212" s="45">
        <f t="shared" si="115"/>
        <v>14.020061728395062</v>
      </c>
      <c r="M212" s="45">
        <f t="shared" si="115"/>
        <v>14.020061728395062</v>
      </c>
      <c r="N212" s="45">
        <f t="shared" si="115"/>
        <v>14.020061728395062</v>
      </c>
    </row>
  </sheetData>
  <pageMargins left="0.7" right="0.7" top="0.75" bottom="0.75"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4"/>
  <sheetViews>
    <sheetView tabSelected="1" zoomScale="80" zoomScaleNormal="80" workbookViewId="0">
      <selection activeCell="N63" sqref="N63"/>
    </sheetView>
  </sheetViews>
  <sheetFormatPr defaultColWidth="8.85546875" defaultRowHeight="15" x14ac:dyDescent="0.25"/>
  <cols>
    <col min="1" max="1" width="48.7109375" customWidth="1"/>
    <col min="2" max="14" width="11.7109375" customWidth="1"/>
    <col min="15" max="15" width="52.5703125" customWidth="1"/>
  </cols>
  <sheetData>
    <row r="1" spans="1:15" ht="60" customHeight="1" x14ac:dyDescent="0.35">
      <c r="A1" s="5" t="s">
        <v>11</v>
      </c>
      <c r="B1" s="6">
        <f t="shared" ref="B1:H1" si="0">+C1-1</f>
        <v>2015</v>
      </c>
      <c r="C1" s="6">
        <f t="shared" si="0"/>
        <v>2016</v>
      </c>
      <c r="D1" s="6">
        <f t="shared" si="0"/>
        <v>2017</v>
      </c>
      <c r="E1" s="6">
        <f t="shared" si="0"/>
        <v>2018</v>
      </c>
      <c r="F1" s="6">
        <f t="shared" si="0"/>
        <v>2019</v>
      </c>
      <c r="G1" s="6">
        <f t="shared" si="0"/>
        <v>2020</v>
      </c>
      <c r="H1" s="6">
        <f t="shared" si="0"/>
        <v>2021</v>
      </c>
      <c r="I1" s="6">
        <v>2022</v>
      </c>
      <c r="J1" s="39">
        <f>+I1+1</f>
        <v>2023</v>
      </c>
      <c r="K1" s="39">
        <f>+J1+1</f>
        <v>2024</v>
      </c>
      <c r="L1" s="39">
        <f>+K1+1</f>
        <v>2025</v>
      </c>
      <c r="M1" s="39">
        <f>+L1+1</f>
        <v>2026</v>
      </c>
      <c r="N1" s="39">
        <f>+M1+1</f>
        <v>2027</v>
      </c>
      <c r="O1" s="59" t="s">
        <v>169</v>
      </c>
    </row>
    <row r="2" spans="1:15" x14ac:dyDescent="0.25">
      <c r="A2" s="40" t="s">
        <v>170</v>
      </c>
      <c r="B2" s="40"/>
      <c r="C2" s="40"/>
      <c r="D2" s="40"/>
      <c r="E2" s="40"/>
      <c r="F2" s="40"/>
      <c r="G2" s="40"/>
      <c r="H2" s="40"/>
      <c r="I2" s="40"/>
      <c r="J2" s="40"/>
      <c r="K2" s="40"/>
      <c r="L2" s="40"/>
      <c r="M2" s="40"/>
      <c r="N2" s="40"/>
    </row>
    <row r="3" spans="1:15" x14ac:dyDescent="0.25">
      <c r="A3" s="3" t="s">
        <v>157</v>
      </c>
      <c r="B3" s="10">
        <f>'Segmental forecast'!B3</f>
        <v>30601</v>
      </c>
      <c r="C3" s="10">
        <f>'Segmental forecast'!C3</f>
        <v>32376</v>
      </c>
      <c r="D3" s="10">
        <f>'Segmental forecast'!D3</f>
        <v>34350</v>
      </c>
      <c r="E3" s="10">
        <f>'Segmental forecast'!E3</f>
        <v>36397</v>
      </c>
      <c r="F3" s="10">
        <f>'Segmental forecast'!F3</f>
        <v>39117</v>
      </c>
      <c r="G3" s="10">
        <f>'Segmental forecast'!G3</f>
        <v>37403</v>
      </c>
      <c r="H3" s="10">
        <f>'Segmental forecast'!H3</f>
        <v>44538</v>
      </c>
      <c r="I3" s="10">
        <f>'Segmental forecast'!I3</f>
        <v>46710</v>
      </c>
      <c r="J3" s="10">
        <f>'Segmental forecast'!J3</f>
        <v>48987.922672773813</v>
      </c>
      <c r="K3" s="10">
        <f>'Segmental forecast'!K3</f>
        <v>51376.933585820305</v>
      </c>
      <c r="L3" s="10">
        <f>'Segmental forecast'!L3</f>
        <v>53882.450217649348</v>
      </c>
      <c r="M3" s="10">
        <f>'Segmental forecast'!M3</f>
        <v>56510.154242812903</v>
      </c>
      <c r="N3" s="10">
        <f>'Segmental forecast'!N3</f>
        <v>59266.004416044518</v>
      </c>
    </row>
    <row r="4" spans="1:15" x14ac:dyDescent="0.25">
      <c r="A4" s="42" t="s">
        <v>144</v>
      </c>
      <c r="B4" s="60" t="str">
        <f>'Segmental forecast'!B4</f>
        <v>nm</v>
      </c>
      <c r="C4" s="60">
        <f>'Segmental forecast'!C4</f>
        <v>5.8004640371229765E-2</v>
      </c>
      <c r="D4" s="60">
        <f>'Segmental forecast'!D4</f>
        <v>6.0971089696071123E-2</v>
      </c>
      <c r="E4" s="60">
        <f>'Segmental forecast'!E4</f>
        <v>5.95924308588065E-2</v>
      </c>
      <c r="F4" s="60">
        <f>'Segmental forecast'!F4</f>
        <v>7.4731433909388079E-2</v>
      </c>
      <c r="G4" s="60">
        <f>'Segmental forecast'!G4</f>
        <v>-4.3817266150267153E-2</v>
      </c>
      <c r="H4" s="60">
        <f>'Segmental forecast'!H4</f>
        <v>0.19076009945726269</v>
      </c>
      <c r="I4" s="60">
        <f>'Segmental forecast'!I4</f>
        <v>4.8767344739323759E-2</v>
      </c>
      <c r="J4" s="60">
        <f>'Segmental forecast'!J4</f>
        <v>4.8767344739323759E-2</v>
      </c>
      <c r="K4" s="60">
        <f>'Segmental forecast'!K4</f>
        <v>4.8767344739323759E-2</v>
      </c>
      <c r="L4" s="60">
        <f>'Segmental forecast'!L4</f>
        <v>4.8767344739323759E-2</v>
      </c>
      <c r="M4" s="60">
        <f>'Segmental forecast'!M4</f>
        <v>4.8767344739323759E-2</v>
      </c>
      <c r="N4" s="60">
        <f>'Segmental forecast'!N4</f>
        <v>4.8767344739323759E-2</v>
      </c>
      <c r="O4" t="s">
        <v>171</v>
      </c>
    </row>
    <row r="5" spans="1:15" x14ac:dyDescent="0.25">
      <c r="A5" s="3" t="s">
        <v>145</v>
      </c>
      <c r="B5" s="10">
        <f>'Segmental forecast'!B5</f>
        <v>4839</v>
      </c>
      <c r="C5" s="10">
        <f>'Segmental forecast'!C5</f>
        <v>5291</v>
      </c>
      <c r="D5" s="10">
        <f>'Segmental forecast'!D5</f>
        <v>5651</v>
      </c>
      <c r="E5" s="10">
        <f>'Segmental forecast'!E5</f>
        <v>5126</v>
      </c>
      <c r="F5" s="10">
        <f>'Segmental forecast'!F5</f>
        <v>5555</v>
      </c>
      <c r="G5" s="10">
        <f>'Segmental forecast'!G5</f>
        <v>3697</v>
      </c>
      <c r="H5" s="10">
        <f>'Segmental forecast'!H5</f>
        <v>7667</v>
      </c>
      <c r="I5" s="10">
        <f>'Segmental forecast'!I5</f>
        <v>7573</v>
      </c>
      <c r="J5" s="10">
        <f>'Segmental forecast'!J5</f>
        <v>7480.152471631669</v>
      </c>
      <c r="K5" s="10">
        <f>'Segmental forecast'!K5</f>
        <v>7388.4432852049868</v>
      </c>
      <c r="L5" s="10">
        <f>'Segmental forecast'!L5</f>
        <v>7297.8584842646887</v>
      </c>
      <c r="M5" s="10">
        <f>'Segmental forecast'!M5</f>
        <v>7208.3842834663483</v>
      </c>
      <c r="N5" s="10">
        <f>'Segmental forecast'!N5</f>
        <v>7120.0070664784998</v>
      </c>
      <c r="O5" t="s">
        <v>171</v>
      </c>
    </row>
    <row r="6" spans="1:15" x14ac:dyDescent="0.25">
      <c r="A6" s="61" t="s">
        <v>148</v>
      </c>
      <c r="B6" s="7">
        <f>'Segmental forecast'!B8</f>
        <v>606</v>
      </c>
      <c r="C6" s="7">
        <f>'Segmental forecast'!C8</f>
        <v>649</v>
      </c>
      <c r="D6" s="7">
        <f>'Segmental forecast'!D8</f>
        <v>706</v>
      </c>
      <c r="E6" s="7">
        <f>'Segmental forecast'!E8</f>
        <v>747</v>
      </c>
      <c r="F6" s="7">
        <f>'Segmental forecast'!F8</f>
        <v>705</v>
      </c>
      <c r="G6" s="7">
        <f>'Segmental forecast'!G8</f>
        <v>721</v>
      </c>
      <c r="H6" s="7">
        <f>'Segmental forecast'!H8</f>
        <v>744</v>
      </c>
      <c r="I6" s="7">
        <f>'Segmental forecast'!I8</f>
        <v>717</v>
      </c>
      <c r="J6" s="7">
        <f>'Segmental forecast'!J8</f>
        <v>690.97983870967744</v>
      </c>
      <c r="K6" s="7">
        <f>'Segmental forecast'!K8</f>
        <v>665.90395746618105</v>
      </c>
      <c r="L6" s="7">
        <f>'Segmental forecast'!L8</f>
        <v>641.73808804200507</v>
      </c>
      <c r="M6" s="7">
        <f>'Segmental forecast'!M8</f>
        <v>618.4492058146742</v>
      </c>
      <c r="N6" s="7">
        <f>'Segmental forecast'!N8</f>
        <v>596.00548463591576</v>
      </c>
      <c r="O6" t="s">
        <v>171</v>
      </c>
    </row>
    <row r="7" spans="1:15" x14ac:dyDescent="0.25">
      <c r="A7" s="14" t="s">
        <v>151</v>
      </c>
      <c r="B7" s="15">
        <f>'Segmental forecast'!B11</f>
        <v>4233</v>
      </c>
      <c r="C7" s="15">
        <f>'Segmental forecast'!C11</f>
        <v>4642</v>
      </c>
      <c r="D7" s="15">
        <f>'Segmental forecast'!D11</f>
        <v>4945</v>
      </c>
      <c r="E7" s="15">
        <f>'Segmental forecast'!E11</f>
        <v>4379</v>
      </c>
      <c r="F7" s="15">
        <f>'Segmental forecast'!F11</f>
        <v>4850</v>
      </c>
      <c r="G7" s="15">
        <f>'Segmental forecast'!G11</f>
        <v>2976</v>
      </c>
      <c r="H7" s="15">
        <f>'Segmental forecast'!H11</f>
        <v>6923</v>
      </c>
      <c r="I7" s="15">
        <f>'Segmental forecast'!I11</f>
        <v>6856</v>
      </c>
      <c r="J7" s="15">
        <f>'Segmental forecast'!J11</f>
        <v>6789.648418315759</v>
      </c>
      <c r="K7" s="15">
        <f>'Segmental forecast'!K11</f>
        <v>6723.9389796291844</v>
      </c>
      <c r="L7" s="15">
        <f>'Segmental forecast'!L11</f>
        <v>6658.865469353992</v>
      </c>
      <c r="M7" s="15">
        <f>'Segmental forecast'!M11</f>
        <v>6594.4217330479514</v>
      </c>
      <c r="N7" s="15">
        <f>'Segmental forecast'!N11</f>
        <v>6530.6016758308178</v>
      </c>
      <c r="O7" t="s">
        <v>171</v>
      </c>
    </row>
    <row r="8" spans="1:15" x14ac:dyDescent="0.25">
      <c r="A8" s="42" t="s">
        <v>144</v>
      </c>
      <c r="B8" s="60" t="str">
        <f>'Segmental forecast'!B12</f>
        <v>nm</v>
      </c>
      <c r="C8" s="60">
        <f>'Segmental forecast'!C12</f>
        <v>9.6621781242617555E-2</v>
      </c>
      <c r="D8" s="60">
        <f>'Segmental forecast'!D12</f>
        <v>6.5273588970271357E-2</v>
      </c>
      <c r="E8" s="60">
        <f>'Segmental forecast'!E12</f>
        <v>-0.11445904954499497</v>
      </c>
      <c r="F8" s="60">
        <f>'Segmental forecast'!F12</f>
        <v>0.10755880337976698</v>
      </c>
      <c r="G8" s="60">
        <f>'Segmental forecast'!G12</f>
        <v>-0.38639175257731961</v>
      </c>
      <c r="H8" s="60">
        <f>'Segmental forecast'!H12</f>
        <v>1.32627688172043</v>
      </c>
      <c r="I8" s="60">
        <f>'Segmental forecast'!I12</f>
        <v>-9.67788530983682E-3</v>
      </c>
      <c r="J8" s="60">
        <f>'Segmental forecast'!J12</f>
        <v>-9.67788530983682E-3</v>
      </c>
      <c r="K8" s="60">
        <f>'Segmental forecast'!K12</f>
        <v>-9.67788530983682E-3</v>
      </c>
      <c r="L8" s="60">
        <f>'Segmental forecast'!L12</f>
        <v>-9.67788530983682E-3</v>
      </c>
      <c r="M8" s="60">
        <f>'Segmental forecast'!M12</f>
        <v>-9.67788530983682E-3</v>
      </c>
      <c r="N8" s="60">
        <f>'Segmental forecast'!N12</f>
        <v>-9.67788530983682E-3</v>
      </c>
    </row>
    <row r="9" spans="1:15" x14ac:dyDescent="0.25">
      <c r="A9" s="42" t="s">
        <v>147</v>
      </c>
      <c r="B9" s="60">
        <f>'Segmental forecast'!B13</f>
        <v>0.13832881278389594</v>
      </c>
      <c r="C9" s="60">
        <f>'Segmental forecast'!C13</f>
        <v>0.14337781072399308</v>
      </c>
      <c r="D9" s="60">
        <f>'Segmental forecast'!D13</f>
        <v>0.14395924308588065</v>
      </c>
      <c r="E9" s="60">
        <f>'Segmental forecast'!E13</f>
        <v>0.12031211363573921</v>
      </c>
      <c r="F9" s="60">
        <f>'Segmental forecast'!F13</f>
        <v>0.12398701331901731</v>
      </c>
      <c r="G9" s="60">
        <f>'Segmental forecast'!G13</f>
        <v>7.9565810229126011E-2</v>
      </c>
      <c r="H9" s="60">
        <f>'Segmental forecast'!H13</f>
        <v>0.1554402981723472</v>
      </c>
      <c r="I9" s="60">
        <f>'Segmental forecast'!I13</f>
        <v>0.14677799186469706</v>
      </c>
      <c r="J9" s="60">
        <f>'Segmental forecast'!J13</f>
        <v>0.1385984146269845</v>
      </c>
      <c r="K9" s="60">
        <f>'Segmental forecast'!K13</f>
        <v>0.13087466515294224</v>
      </c>
      <c r="L9" s="60">
        <f>'Segmental forecast'!L13</f>
        <v>0.12358134128007531</v>
      </c>
      <c r="M9" s="60">
        <f>'Segmental forecast'!M13</f>
        <v>0.11669445644605803</v>
      </c>
      <c r="N9" s="60">
        <f>'Segmental forecast'!N13</f>
        <v>0.11019136080081098</v>
      </c>
    </row>
    <row r="10" spans="1:15" x14ac:dyDescent="0.25">
      <c r="A10" s="4" t="s">
        <v>18</v>
      </c>
      <c r="B10" s="7">
        <f>Historicals!B8</f>
        <v>28</v>
      </c>
      <c r="C10" s="7">
        <f>Historicals!C8</f>
        <v>19</v>
      </c>
      <c r="D10" s="7">
        <f>Historicals!D8</f>
        <v>59</v>
      </c>
      <c r="E10" s="7">
        <f>Historicals!E8</f>
        <v>54</v>
      </c>
      <c r="F10" s="7">
        <f>Historicals!F8</f>
        <v>49</v>
      </c>
      <c r="G10" s="7">
        <f>Historicals!G8</f>
        <v>89</v>
      </c>
      <c r="H10" s="7">
        <f>Historicals!H8</f>
        <v>262</v>
      </c>
      <c r="I10" s="7">
        <f>Historicals!I8</f>
        <v>205</v>
      </c>
      <c r="J10" s="7">
        <f>I50</f>
        <v>290</v>
      </c>
      <c r="K10" s="7">
        <f>J50</f>
        <v>304.14252997440389</v>
      </c>
      <c r="L10" s="7">
        <f>K50</f>
        <v>318.97475358355575</v>
      </c>
      <c r="M10" s="7">
        <f>L50</f>
        <v>334.53030535470589</v>
      </c>
      <c r="N10" s="7">
        <f>M50</f>
        <v>350.8444600816901</v>
      </c>
      <c r="O10" t="s">
        <v>172</v>
      </c>
    </row>
    <row r="11" spans="1:15" x14ac:dyDescent="0.25">
      <c r="A11" s="14" t="s">
        <v>173</v>
      </c>
      <c r="B11" s="62">
        <v>4205</v>
      </c>
      <c r="C11" s="62">
        <v>4623</v>
      </c>
      <c r="D11" s="62">
        <v>4886</v>
      </c>
      <c r="E11" s="62">
        <v>4325</v>
      </c>
      <c r="F11" s="62">
        <v>4801</v>
      </c>
      <c r="G11" s="62">
        <v>2887</v>
      </c>
      <c r="H11" s="62">
        <v>6661</v>
      </c>
      <c r="I11" s="62">
        <v>6651</v>
      </c>
      <c r="J11" s="15">
        <f>0.95*J7</f>
        <v>6450.1659973999704</v>
      </c>
      <c r="K11" s="15">
        <f>0.95*K7</f>
        <v>6387.7420306477252</v>
      </c>
      <c r="L11" s="15">
        <f>0.95*L7</f>
        <v>6325.9221958862918</v>
      </c>
      <c r="M11" s="15">
        <f>0.95*M7</f>
        <v>6264.7006463955531</v>
      </c>
      <c r="N11" s="15">
        <f>0.95*N7</f>
        <v>6204.0715920392768</v>
      </c>
      <c r="O11" t="s">
        <v>174</v>
      </c>
    </row>
    <row r="12" spans="1:15" x14ac:dyDescent="0.25">
      <c r="A12" t="s">
        <v>21</v>
      </c>
      <c r="B12" s="7">
        <f>Historicals!B11</f>
        <v>932</v>
      </c>
      <c r="C12" s="7">
        <f>Historicals!C11</f>
        <v>863</v>
      </c>
      <c r="D12" s="7">
        <f>Historicals!D11</f>
        <v>646</v>
      </c>
      <c r="E12" s="7">
        <f>Historicals!E11</f>
        <v>2392</v>
      </c>
      <c r="F12" s="7">
        <f>Historicals!F11</f>
        <v>772</v>
      </c>
      <c r="G12" s="7">
        <f>Historicals!G11</f>
        <v>348</v>
      </c>
      <c r="H12" s="7">
        <f>Historicals!H11</f>
        <v>934</v>
      </c>
      <c r="I12" s="7">
        <f>Historicals!I11</f>
        <v>605</v>
      </c>
      <c r="J12" s="7">
        <f>J11*J13</f>
        <v>838.52157966199616</v>
      </c>
      <c r="K12" s="7">
        <f>K11*K13</f>
        <v>830.40646398420427</v>
      </c>
      <c r="L12" s="7">
        <f>L11*L13</f>
        <v>822.36988546521798</v>
      </c>
      <c r="M12" s="7">
        <f>M11*M13</f>
        <v>814.41108403142198</v>
      </c>
      <c r="N12" s="7">
        <f>N11*N13</f>
        <v>806.529306965106</v>
      </c>
      <c r="O12" t="s">
        <v>175</v>
      </c>
    </row>
    <row r="13" spans="1:15" x14ac:dyDescent="0.25">
      <c r="A13" s="63" t="s">
        <v>176</v>
      </c>
      <c r="B13" s="60">
        <v>0.222</v>
      </c>
      <c r="C13" s="60">
        <v>0.187</v>
      </c>
      <c r="D13" s="60">
        <v>0.13200000000000001</v>
      </c>
      <c r="E13" s="60">
        <v>0.55300000000000005</v>
      </c>
      <c r="F13" s="60">
        <v>0.161</v>
      </c>
      <c r="G13" s="60">
        <v>0.121</v>
      </c>
      <c r="H13" s="60">
        <v>0.14000000000000001</v>
      </c>
      <c r="I13" s="60">
        <v>9.0999999999999998E-2</v>
      </c>
      <c r="J13" s="64">
        <f>13%</f>
        <v>0.13</v>
      </c>
      <c r="K13" s="64">
        <f>J13</f>
        <v>0.13</v>
      </c>
      <c r="L13" s="64">
        <f>K13</f>
        <v>0.13</v>
      </c>
      <c r="M13" s="64">
        <f>L13</f>
        <v>0.13</v>
      </c>
      <c r="N13" s="64">
        <f>M13</f>
        <v>0.13</v>
      </c>
      <c r="O13" t="s">
        <v>177</v>
      </c>
    </row>
    <row r="14" spans="1:15" x14ac:dyDescent="0.25">
      <c r="A14" s="16" t="s">
        <v>178</v>
      </c>
      <c r="B14" s="17">
        <f>Historicals!B12</f>
        <v>3273</v>
      </c>
      <c r="C14" s="17">
        <f>Historicals!C12</f>
        <v>3760</v>
      </c>
      <c r="D14" s="17">
        <f>Historicals!D12</f>
        <v>4240</v>
      </c>
      <c r="E14" s="17">
        <f>Historicals!E12</f>
        <v>1933</v>
      </c>
      <c r="F14" s="17">
        <f>Historicals!F12</f>
        <v>4029</v>
      </c>
      <c r="G14" s="17">
        <f>Historicals!G12</f>
        <v>2539</v>
      </c>
      <c r="H14" s="17">
        <f>Historicals!H12</f>
        <v>5727</v>
      </c>
      <c r="I14" s="17">
        <f>Historicals!I12</f>
        <v>6046</v>
      </c>
      <c r="J14" s="17">
        <f>0.85*J7</f>
        <v>5771.2011555683948</v>
      </c>
      <c r="K14" s="17">
        <f>0.85*K7</f>
        <v>5715.3481326848068</v>
      </c>
      <c r="L14" s="17">
        <f>0.85*L7</f>
        <v>5660.0356489508931</v>
      </c>
      <c r="M14" s="17">
        <f>0.85*M7</f>
        <v>5605.2584730907583</v>
      </c>
      <c r="N14" s="17">
        <f>0.85*N7</f>
        <v>5551.0114244561946</v>
      </c>
      <c r="O14" t="s">
        <v>174</v>
      </c>
    </row>
    <row r="15" spans="1:15" x14ac:dyDescent="0.25">
      <c r="A15" t="s">
        <v>179</v>
      </c>
      <c r="B15" s="7">
        <f>Historicals!B18</f>
        <v>1768.8</v>
      </c>
      <c r="C15" s="7">
        <f>Historicals!C18</f>
        <v>1742.5</v>
      </c>
      <c r="D15" s="7">
        <f>Historicals!D18</f>
        <v>1692</v>
      </c>
      <c r="E15" s="7">
        <f>Historicals!E18</f>
        <v>1659.1</v>
      </c>
      <c r="F15" s="7">
        <f>Historicals!F18</f>
        <v>1618.4</v>
      </c>
      <c r="G15" s="7">
        <f>Historicals!G18</f>
        <v>1591.6</v>
      </c>
      <c r="H15" s="7">
        <f>Historicals!H18</f>
        <v>1609.4</v>
      </c>
      <c r="I15" s="7">
        <f>Historicals!I18</f>
        <v>1610.8</v>
      </c>
      <c r="J15" s="7">
        <f>I15+(-I59/112.69)</f>
        <v>1646.4198420445468</v>
      </c>
      <c r="K15" s="7">
        <f>J15+(-J59/112.69)</f>
        <v>1683.8206761913211</v>
      </c>
      <c r="L15" s="7">
        <f>K15+(-K59/112.69)</f>
        <v>1723.0915520454341</v>
      </c>
      <c r="M15" s="7">
        <f>L15+(-L59/112.69)</f>
        <v>1764.3259716922528</v>
      </c>
      <c r="N15" s="7">
        <f>M15+(-M59/112.69)</f>
        <v>1807.6221123214125</v>
      </c>
    </row>
    <row r="16" spans="1:15" x14ac:dyDescent="0.25">
      <c r="A16" t="s">
        <v>180</v>
      </c>
      <c r="B16" s="65">
        <f>Historicals!B14</f>
        <v>1.9</v>
      </c>
      <c r="C16" s="65">
        <f>Historicals!C14</f>
        <v>2.21</v>
      </c>
      <c r="D16" s="65">
        <f>Historicals!D14</f>
        <v>2.56</v>
      </c>
      <c r="E16" s="65">
        <f>Historicals!E14</f>
        <v>1.19</v>
      </c>
      <c r="F16" s="65">
        <f>Historicals!F14</f>
        <v>2.5499999999999998</v>
      </c>
      <c r="G16" s="65">
        <f>Historicals!G14</f>
        <v>1.63</v>
      </c>
      <c r="H16" s="65">
        <f>Historicals!H14</f>
        <v>3.64</v>
      </c>
      <c r="I16" s="65">
        <f>Historicals!I14</f>
        <v>3.83</v>
      </c>
      <c r="J16" s="65">
        <f>(J14-J61)/J15</f>
        <v>4.1515541668158882</v>
      </c>
      <c r="K16" s="65">
        <f>(K14-K61)/K15</f>
        <v>3.8230603909946135</v>
      </c>
      <c r="L16" s="65">
        <f>(L14-L61)/L15</f>
        <v>3.4978034926794033</v>
      </c>
      <c r="M16" s="65">
        <f>(M14-M61)/M15</f>
        <v>3.1781306646597498</v>
      </c>
      <c r="N16" s="65">
        <f>(N14-N61)/N15</f>
        <v>3.0708915246270077</v>
      </c>
    </row>
    <row r="17" spans="1:15" x14ac:dyDescent="0.25">
      <c r="A17" t="s">
        <v>181</v>
      </c>
      <c r="B17" s="65">
        <f>Historicals!B15</f>
        <v>1.85</v>
      </c>
      <c r="C17" s="65">
        <f>Historicals!C15</f>
        <v>2.16</v>
      </c>
      <c r="D17" s="65">
        <f>Historicals!D15</f>
        <v>2.5099999999999998</v>
      </c>
      <c r="E17" s="65">
        <f>Historicals!E15</f>
        <v>1.17</v>
      </c>
      <c r="F17" s="65">
        <f>Historicals!F15</f>
        <v>2.4900000000000002</v>
      </c>
      <c r="G17" s="65">
        <f>Historicals!G15</f>
        <v>1.6</v>
      </c>
      <c r="H17" s="65">
        <f>Historicals!H15</f>
        <v>3.56</v>
      </c>
      <c r="I17" s="65">
        <f>Historicals!I15</f>
        <v>3.75</v>
      </c>
      <c r="J17" s="65">
        <f>-J61/J15</f>
        <v>0.64625071493229225</v>
      </c>
      <c r="K17" s="65">
        <f>-K61/K15</f>
        <v>0.42878675277530803</v>
      </c>
      <c r="L17" s="65">
        <f>-L61/L15</f>
        <v>0.21298926314411123</v>
      </c>
      <c r="M17" s="65">
        <f>-M61/M15</f>
        <v>1.1335773729395937E-3</v>
      </c>
      <c r="N17" s="65">
        <f>-N61/N15</f>
        <v>0</v>
      </c>
      <c r="O17" t="s">
        <v>182</v>
      </c>
    </row>
    <row r="18" spans="1:15" x14ac:dyDescent="0.25">
      <c r="A18" s="63" t="s">
        <v>144</v>
      </c>
      <c r="B18" s="60" t="str">
        <f>+IFERROR(B17/A17-1,"nm")</f>
        <v>nm</v>
      </c>
      <c r="C18" s="60">
        <f t="shared" ref="C18:I18" si="1">+IFERROR(C17/B17-1,"nm")</f>
        <v>0.16756756756756763</v>
      </c>
      <c r="D18" s="60">
        <f t="shared" si="1"/>
        <v>0.16203703703703676</v>
      </c>
      <c r="E18" s="60">
        <f t="shared" si="1"/>
        <v>-0.53386454183266929</v>
      </c>
      <c r="F18" s="60">
        <f t="shared" si="1"/>
        <v>1.1282051282051286</v>
      </c>
      <c r="G18" s="60">
        <f t="shared" si="1"/>
        <v>-0.35742971887550201</v>
      </c>
      <c r="H18" s="60">
        <f t="shared" si="1"/>
        <v>1.2250000000000001</v>
      </c>
      <c r="I18" s="60">
        <f t="shared" si="1"/>
        <v>5.3370786516854007E-2</v>
      </c>
      <c r="J18" s="60">
        <f t="shared" ref="J18" si="2">+IFERROR(J17/I17-1,"nm")</f>
        <v>-0.82766647601805543</v>
      </c>
      <c r="K18" s="60">
        <f t="shared" ref="K18" si="3">+IFERROR(K17/J17-1,"nm")</f>
        <v>-0.33650092314368729</v>
      </c>
      <c r="L18" s="60">
        <f t="shared" ref="L18" si="4">+IFERROR(L17/K17-1,"nm")</f>
        <v>-0.5032746189905698</v>
      </c>
      <c r="M18" s="60">
        <f t="shared" ref="M18" si="5">+IFERROR(M17/L17-1,"nm")</f>
        <v>-0.99467777222097531</v>
      </c>
      <c r="N18" s="60">
        <f t="shared" ref="N18" si="6">+IFERROR(N17/M17-1,"nm")</f>
        <v>-1</v>
      </c>
      <c r="O18" t="s">
        <v>183</v>
      </c>
    </row>
    <row r="19" spans="1:15" x14ac:dyDescent="0.25">
      <c r="A19" s="63" t="s">
        <v>184</v>
      </c>
      <c r="B19" s="60">
        <f>-B17/B16</f>
        <v>-0.97368421052631593</v>
      </c>
      <c r="C19" s="60">
        <f t="shared" ref="C19:N19" si="7">-C17/C16</f>
        <v>-0.97737556561085981</v>
      </c>
      <c r="D19" s="60">
        <f t="shared" si="7"/>
        <v>-0.98046874999999989</v>
      </c>
      <c r="E19" s="60">
        <f t="shared" si="7"/>
        <v>-0.98319327731092432</v>
      </c>
      <c r="F19" s="60">
        <f t="shared" si="7"/>
        <v>-0.97647058823529431</v>
      </c>
      <c r="G19" s="60">
        <f t="shared" si="7"/>
        <v>-0.98159509202453998</v>
      </c>
      <c r="H19" s="60">
        <f t="shared" si="7"/>
        <v>-0.97802197802197799</v>
      </c>
      <c r="I19" s="60">
        <f t="shared" si="7"/>
        <v>-0.97911227154046998</v>
      </c>
      <c r="J19" s="60">
        <f t="shared" si="7"/>
        <v>-0.15566476769058907</v>
      </c>
      <c r="K19" s="60">
        <f t="shared" si="7"/>
        <v>-0.11215798572926916</v>
      </c>
      <c r="L19" s="60">
        <f t="shared" si="7"/>
        <v>-6.0892289572550065E-2</v>
      </c>
      <c r="M19" s="60">
        <f t="shared" si="7"/>
        <v>-3.5668054354868832E-4</v>
      </c>
      <c r="N19" s="60">
        <f t="shared" si="7"/>
        <v>0</v>
      </c>
      <c r="O19" t="s">
        <v>185</v>
      </c>
    </row>
    <row r="20" spans="1:15" x14ac:dyDescent="0.25">
      <c r="A20" s="66" t="s">
        <v>186</v>
      </c>
      <c r="B20" s="40"/>
      <c r="C20" s="40"/>
      <c r="D20" s="40"/>
      <c r="E20" s="40"/>
      <c r="F20" s="40"/>
      <c r="G20" s="40"/>
      <c r="H20" s="40"/>
      <c r="I20" s="40"/>
      <c r="J20" s="40"/>
      <c r="K20" s="40"/>
      <c r="L20" s="40"/>
      <c r="M20" s="40"/>
      <c r="N20" s="40"/>
    </row>
    <row r="21" spans="1:15" x14ac:dyDescent="0.25">
      <c r="A21" t="s">
        <v>187</v>
      </c>
      <c r="B21" s="7">
        <f>Historicals!B25</f>
        <v>3852</v>
      </c>
      <c r="C21" s="7">
        <f>Historicals!C25</f>
        <v>3138</v>
      </c>
      <c r="D21" s="7">
        <f>Historicals!D25</f>
        <v>3808</v>
      </c>
      <c r="E21" s="7">
        <f>Historicals!E25</f>
        <v>4249</v>
      </c>
      <c r="F21" s="7">
        <f>Historicals!F25</f>
        <v>4466</v>
      </c>
      <c r="G21" s="7">
        <f>Historicals!G25</f>
        <v>8348</v>
      </c>
      <c r="H21" s="7">
        <f>Historicals!H25</f>
        <v>9889</v>
      </c>
      <c r="I21" s="7">
        <f>Historicals!I25</f>
        <v>8574</v>
      </c>
      <c r="J21" s="7">
        <v>9887.8799999999992</v>
      </c>
      <c r="K21" s="7">
        <v>10369.94</v>
      </c>
      <c r="L21" s="7">
        <v>10875.5</v>
      </c>
      <c r="M21" s="7">
        <v>11405.71</v>
      </c>
      <c r="N21" s="7">
        <v>11961.79</v>
      </c>
      <c r="O21" t="s">
        <v>188</v>
      </c>
    </row>
    <row r="22" spans="1:15" x14ac:dyDescent="0.25">
      <c r="A22" t="s">
        <v>189</v>
      </c>
      <c r="B22" s="7">
        <f>Historicals!B26</f>
        <v>2072</v>
      </c>
      <c r="C22" s="7">
        <f>Historicals!C26</f>
        <v>2319</v>
      </c>
      <c r="D22" s="7">
        <f>Historicals!D26</f>
        <v>2371</v>
      </c>
      <c r="E22" s="7">
        <f>Historicals!E26</f>
        <v>996</v>
      </c>
      <c r="F22" s="7">
        <f>Historicals!F26</f>
        <v>197</v>
      </c>
      <c r="G22" s="7">
        <f>Historicals!G26</f>
        <v>439</v>
      </c>
      <c r="H22" s="7">
        <f>Historicals!H26</f>
        <v>3587</v>
      </c>
      <c r="I22" s="7">
        <f>Historicals!I26</f>
        <v>4423</v>
      </c>
      <c r="J22" s="7">
        <f>+I22*(1+J4)</f>
        <v>4638.6979657820293</v>
      </c>
      <c r="K22" s="7">
        <f t="shared" ref="K22:N22" si="8">+J22*(1+K4)</f>
        <v>4864.9149486209217</v>
      </c>
      <c r="L22" s="7">
        <f t="shared" si="8"/>
        <v>5102.1639330478074</v>
      </c>
      <c r="M22" s="7">
        <f t="shared" si="8"/>
        <v>5350.982920487294</v>
      </c>
      <c r="N22" s="7">
        <f t="shared" si="8"/>
        <v>5611.9361492649314</v>
      </c>
    </row>
    <row r="23" spans="1:15" x14ac:dyDescent="0.25">
      <c r="A23" t="s">
        <v>190</v>
      </c>
      <c r="B23" s="7">
        <f>Historicals!B27+Historicals!B28-Historicals!B41</f>
        <v>5564</v>
      </c>
      <c r="C23" s="7">
        <f>Historicals!C27+Historicals!C28-Historicals!C41</f>
        <v>5888</v>
      </c>
      <c r="D23" s="7">
        <f>Historicals!D27+Historicals!D28-Historicals!D41</f>
        <v>6684</v>
      </c>
      <c r="E23" s="7">
        <f>Historicals!E27+Historicals!E28-Historicals!E41</f>
        <v>6480</v>
      </c>
      <c r="F23" s="7">
        <f>Historicals!F27+Historicals!F28-Historicals!F41</f>
        <v>7282</v>
      </c>
      <c r="G23" s="7">
        <f>Historicals!G27+Historicals!G28-Historicals!G41</f>
        <v>7868</v>
      </c>
      <c r="H23" s="7">
        <f>Historicals!H27+Historicals!H28-Historicals!H41</f>
        <v>8481</v>
      </c>
      <c r="I23" s="7">
        <f>Historicals!I27+Historicals!I28-Historicals!I41</f>
        <v>9729</v>
      </c>
      <c r="J23" s="7">
        <f>J3*0.19</f>
        <v>9307.7053078270255</v>
      </c>
      <c r="K23" s="7">
        <f t="shared" ref="K23:N23" si="9">K3*0.19</f>
        <v>9761.6173813058576</v>
      </c>
      <c r="L23" s="7">
        <f t="shared" si="9"/>
        <v>10237.665541353375</v>
      </c>
      <c r="M23" s="7">
        <f t="shared" si="9"/>
        <v>10736.929306134452</v>
      </c>
      <c r="N23" s="7">
        <f t="shared" si="9"/>
        <v>11260.540839048459</v>
      </c>
      <c r="O23" t="s">
        <v>191</v>
      </c>
    </row>
    <row r="24" spans="1:15" x14ac:dyDescent="0.25">
      <c r="A24" s="63" t="s">
        <v>192</v>
      </c>
      <c r="B24" s="60">
        <f t="shared" ref="B24:N24" si="10">B23/B3</f>
        <v>0.18182412339466031</v>
      </c>
      <c r="C24" s="60">
        <f t="shared" si="10"/>
        <v>0.1818631084754139</v>
      </c>
      <c r="D24" s="60">
        <f t="shared" si="10"/>
        <v>0.19458515283842795</v>
      </c>
      <c r="E24" s="60">
        <f t="shared" si="10"/>
        <v>0.17803665137236585</v>
      </c>
      <c r="F24" s="60">
        <f t="shared" si="10"/>
        <v>0.18615947030702765</v>
      </c>
      <c r="G24" s="60">
        <f t="shared" si="10"/>
        <v>0.21035745795791783</v>
      </c>
      <c r="H24" s="60">
        <f t="shared" si="10"/>
        <v>0.19042166240064665</v>
      </c>
      <c r="I24" s="60">
        <f t="shared" si="10"/>
        <v>0.20828516377649325</v>
      </c>
      <c r="J24" s="60">
        <f t="shared" si="10"/>
        <v>0.19000000000000003</v>
      </c>
      <c r="K24" s="60">
        <f t="shared" si="10"/>
        <v>0.19</v>
      </c>
      <c r="L24" s="60">
        <f t="shared" si="10"/>
        <v>0.18999999999999997</v>
      </c>
      <c r="M24" s="60">
        <f t="shared" si="10"/>
        <v>0.19</v>
      </c>
      <c r="N24" s="60">
        <f t="shared" si="10"/>
        <v>0.19</v>
      </c>
    </row>
    <row r="25" spans="1:15" x14ac:dyDescent="0.25">
      <c r="A25" t="s">
        <v>193</v>
      </c>
      <c r="B25" s="7">
        <f>Historicals!B29</f>
        <v>1968</v>
      </c>
      <c r="C25" s="7">
        <f>Historicals!C29</f>
        <v>1489</v>
      </c>
      <c r="D25" s="7">
        <f>Historicals!D29</f>
        <v>1150</v>
      </c>
      <c r="E25" s="7">
        <f>Historicals!E29</f>
        <v>1130</v>
      </c>
      <c r="F25" s="7">
        <f>Historicals!F29</f>
        <v>1968</v>
      </c>
      <c r="G25" s="7">
        <f>Historicals!G29</f>
        <v>1653</v>
      </c>
      <c r="H25" s="7">
        <f>Historicals!H29</f>
        <v>1498</v>
      </c>
      <c r="I25" s="7">
        <f>Historicals!I29</f>
        <v>2129</v>
      </c>
      <c r="J25" s="7">
        <f>+I25*(1+J4)</f>
        <v>2232.8256769500204</v>
      </c>
      <c r="K25" s="7">
        <f t="shared" ref="K25:N25" si="11">+J25*(1+K4)</f>
        <v>2341.7146564806558</v>
      </c>
      <c r="L25" s="7">
        <f t="shared" si="11"/>
        <v>2455.9138624143752</v>
      </c>
      <c r="M25" s="7">
        <f t="shared" si="11"/>
        <v>2575.6822603928213</v>
      </c>
      <c r="N25" s="7">
        <f t="shared" si="11"/>
        <v>2701.2914451243587</v>
      </c>
    </row>
    <row r="26" spans="1:15" x14ac:dyDescent="0.25">
      <c r="A26" t="s">
        <v>194</v>
      </c>
      <c r="B26" s="7">
        <f>Historicals!B31</f>
        <v>3011</v>
      </c>
      <c r="C26" s="7">
        <f>Historicals!C31</f>
        <v>3520</v>
      </c>
      <c r="D26" s="7">
        <f>Historicals!D31</f>
        <v>3989</v>
      </c>
      <c r="E26" s="7">
        <f>Historicals!E31</f>
        <v>4454</v>
      </c>
      <c r="F26" s="7">
        <f>Historicals!F31</f>
        <v>4744</v>
      </c>
      <c r="G26" s="7">
        <f>Historicals!G31</f>
        <v>4866</v>
      </c>
      <c r="H26" s="7">
        <f>Historicals!H31</f>
        <v>4904</v>
      </c>
      <c r="I26" s="7">
        <f>Historicals!I31</f>
        <v>4791</v>
      </c>
      <c r="J26" s="7">
        <f>+I26*(1+J4)</f>
        <v>5024.6443486461003</v>
      </c>
      <c r="K26" s="7">
        <f t="shared" ref="K26:N27" si="12">+J26*(1+K4)</f>
        <v>5269.6829117890193</v>
      </c>
      <c r="L26" s="7">
        <f t="shared" si="12"/>
        <v>5526.671355015158</v>
      </c>
      <c r="M26" s="7">
        <f t="shared" si="12"/>
        <v>5796.1924422461279</v>
      </c>
      <c r="N26" s="7">
        <f t="shared" si="12"/>
        <v>6078.8573572526075</v>
      </c>
    </row>
    <row r="27" spans="1:15" ht="16.5" customHeight="1" x14ac:dyDescent="0.25">
      <c r="A27" t="s">
        <v>195</v>
      </c>
      <c r="B27" s="7">
        <f>Historicals!B33</f>
        <v>281</v>
      </c>
      <c r="C27" s="7">
        <f>Historicals!C33</f>
        <v>281</v>
      </c>
      <c r="D27" s="7">
        <f>Historicals!D33</f>
        <v>283</v>
      </c>
      <c r="E27" s="7">
        <f>Historicals!E33</f>
        <v>285</v>
      </c>
      <c r="F27" s="7">
        <f>Historicals!F33</f>
        <v>283</v>
      </c>
      <c r="G27" s="7">
        <f>Historicals!G33</f>
        <v>274</v>
      </c>
      <c r="H27" s="7">
        <f>Historicals!H33</f>
        <v>269</v>
      </c>
      <c r="I27" s="7">
        <f>Historicals!I33</f>
        <v>286</v>
      </c>
      <c r="J27" s="7">
        <f>+I27*(1+J4)</f>
        <v>299.94746059544661</v>
      </c>
      <c r="K27" s="7">
        <f t="shared" ref="K27:N27" si="13">+J27*(1+K4)</f>
        <v>314.57510180998946</v>
      </c>
      <c r="L27" s="7">
        <f t="shared" si="13"/>
        <v>329.91609424636511</v>
      </c>
      <c r="M27" s="7">
        <f t="shared" si="13"/>
        <v>346.00522614952882</v>
      </c>
      <c r="N27" s="7">
        <f t="shared" si="13"/>
        <v>362.87898229477059</v>
      </c>
      <c r="O27" s="1" t="s">
        <v>196</v>
      </c>
    </row>
    <row r="28" spans="1:15" x14ac:dyDescent="0.25">
      <c r="A28" t="s">
        <v>43</v>
      </c>
      <c r="B28" s="7">
        <f>Historicals!B34</f>
        <v>131</v>
      </c>
      <c r="C28" s="7">
        <f>Historicals!C34</f>
        <v>131</v>
      </c>
      <c r="D28" s="7">
        <f>Historicals!D34</f>
        <v>139</v>
      </c>
      <c r="E28" s="7">
        <f>Historicals!E34</f>
        <v>154</v>
      </c>
      <c r="F28" s="7">
        <f>Historicals!F34</f>
        <v>154</v>
      </c>
      <c r="G28" s="7">
        <f>Historicals!G34</f>
        <v>223</v>
      </c>
      <c r="H28" s="7">
        <f>Historicals!H34</f>
        <v>242</v>
      </c>
      <c r="I28" s="7">
        <f>Historicals!I34</f>
        <v>284</v>
      </c>
      <c r="J28" s="7">
        <f>+I28*(1+J4)</f>
        <v>297.84992590596795</v>
      </c>
      <c r="K28" s="7">
        <f t="shared" ref="K28:N28" si="14">+J28*(1+K4)</f>
        <v>312.37527592320635</v>
      </c>
      <c r="L28" s="7">
        <f t="shared" si="14"/>
        <v>327.60898869219471</v>
      </c>
      <c r="M28" s="7">
        <f t="shared" si="14"/>
        <v>343.58560918344818</v>
      </c>
      <c r="N28" s="7">
        <f t="shared" si="14"/>
        <v>360.34136703396797</v>
      </c>
    </row>
    <row r="29" spans="1:15" x14ac:dyDescent="0.25">
      <c r="A29" s="67" t="s">
        <v>41</v>
      </c>
      <c r="B29" s="7">
        <f>Historicals!B32</f>
        <v>3</v>
      </c>
      <c r="C29" s="7">
        <f>Historicals!C32</f>
        <v>0</v>
      </c>
      <c r="D29" s="7">
        <f>Historicals!D32</f>
        <v>0</v>
      </c>
      <c r="E29" s="7">
        <f>Historicals!E32</f>
        <v>0</v>
      </c>
      <c r="F29" s="7">
        <f>Historicals!F32</f>
        <v>0</v>
      </c>
      <c r="G29" s="7">
        <f>Historicals!G32</f>
        <v>3097</v>
      </c>
      <c r="H29" s="7">
        <f>Historicals!H32</f>
        <v>3113</v>
      </c>
      <c r="I29" s="7">
        <f>Historicals!I32</f>
        <v>2926</v>
      </c>
      <c r="J29" s="7">
        <f>+I29*(1+J4)</f>
        <v>3068.6932507072615</v>
      </c>
      <c r="K29" s="7">
        <f t="shared" ref="K29:N29" si="15">+J29*(1+K4)</f>
        <v>3218.3452723637388</v>
      </c>
      <c r="L29" s="7">
        <f t="shared" si="15"/>
        <v>3375.2954257512743</v>
      </c>
      <c r="M29" s="7">
        <f t="shared" si="15"/>
        <v>3539.8996213759492</v>
      </c>
      <c r="N29" s="7">
        <f t="shared" si="15"/>
        <v>3712.5311265541918</v>
      </c>
    </row>
    <row r="30" spans="1:15" x14ac:dyDescent="0.25">
      <c r="A30" t="s">
        <v>197</v>
      </c>
      <c r="B30" s="7">
        <f>Historicals!B35</f>
        <v>2587</v>
      </c>
      <c r="C30" s="7">
        <f>Historicals!C35</f>
        <v>2439</v>
      </c>
      <c r="D30" s="7">
        <f>Historicals!D35</f>
        <v>2787</v>
      </c>
      <c r="E30" s="7">
        <f>Historicals!E35</f>
        <v>2509</v>
      </c>
      <c r="F30" s="7">
        <f>Historicals!F35</f>
        <v>2011</v>
      </c>
      <c r="G30" s="7">
        <f>Historicals!G35</f>
        <v>2326</v>
      </c>
      <c r="H30" s="7">
        <f>Historicals!H35</f>
        <v>2921</v>
      </c>
      <c r="I30" s="7">
        <f>Historicals!I35</f>
        <v>3821</v>
      </c>
      <c r="J30" s="7">
        <f>+I30*(1+J4)</f>
        <v>4007.3400242489561</v>
      </c>
      <c r="K30" s="7">
        <f t="shared" ref="K30:N30" si="16">+J30*(1+K4)</f>
        <v>4202.7673566991953</v>
      </c>
      <c r="L30" s="7">
        <f t="shared" si="16"/>
        <v>4407.7251612425216</v>
      </c>
      <c r="M30" s="7">
        <f t="shared" si="16"/>
        <v>4622.6782136970269</v>
      </c>
      <c r="N30" s="7">
        <f t="shared" si="16"/>
        <v>4848.1139557633514</v>
      </c>
    </row>
    <row r="31" spans="1:15" x14ac:dyDescent="0.25">
      <c r="A31" s="16" t="s">
        <v>198</v>
      </c>
      <c r="B31" s="17">
        <f t="shared" ref="B31:N31" si="17">SUM(B21:B23)+SUM(B25:B30)</f>
        <v>19469</v>
      </c>
      <c r="C31" s="17">
        <f t="shared" si="17"/>
        <v>19205</v>
      </c>
      <c r="D31" s="17">
        <f t="shared" si="17"/>
        <v>21211</v>
      </c>
      <c r="E31" s="17">
        <f t="shared" si="17"/>
        <v>20257</v>
      </c>
      <c r="F31" s="17">
        <f t="shared" si="17"/>
        <v>21105</v>
      </c>
      <c r="G31" s="17">
        <f t="shared" si="17"/>
        <v>29094</v>
      </c>
      <c r="H31" s="17">
        <f t="shared" si="17"/>
        <v>34904</v>
      </c>
      <c r="I31" s="17">
        <f t="shared" si="17"/>
        <v>36963</v>
      </c>
      <c r="J31" s="17">
        <f t="shared" si="17"/>
        <v>38765.583960662807</v>
      </c>
      <c r="K31" s="17">
        <f t="shared" si="17"/>
        <v>40655.932904992587</v>
      </c>
      <c r="L31" s="17">
        <f t="shared" si="17"/>
        <v>42638.460361763064</v>
      </c>
      <c r="M31" s="17">
        <f t="shared" si="17"/>
        <v>44717.665599666652</v>
      </c>
      <c r="N31" s="17">
        <f t="shared" si="17"/>
        <v>46898.281222336642</v>
      </c>
    </row>
    <row r="32" spans="1:15" x14ac:dyDescent="0.25">
      <c r="A32" t="s">
        <v>199</v>
      </c>
      <c r="B32" s="7"/>
      <c r="C32" s="7"/>
      <c r="D32" s="7"/>
      <c r="E32" s="7"/>
      <c r="F32" s="7"/>
      <c r="G32" s="7"/>
      <c r="H32" s="7"/>
      <c r="I32" s="7"/>
      <c r="J32" s="7"/>
      <c r="K32" s="7"/>
      <c r="L32" s="7"/>
      <c r="M32" s="7"/>
      <c r="N32" s="7"/>
    </row>
    <row r="33" spans="1:15" ht="22.5" customHeight="1" x14ac:dyDescent="0.25">
      <c r="A33" s="4" t="s">
        <v>48</v>
      </c>
      <c r="B33" s="7">
        <f>Historicals!B39</f>
        <v>107</v>
      </c>
      <c r="C33" s="7">
        <f>Historicals!C39</f>
        <v>44</v>
      </c>
      <c r="D33" s="7">
        <f>Historicals!D39</f>
        <v>6</v>
      </c>
      <c r="E33" s="7">
        <f>Historicals!E39</f>
        <v>6</v>
      </c>
      <c r="F33" s="7">
        <f>Historicals!F39</f>
        <v>6</v>
      </c>
      <c r="G33" s="7">
        <f>Historicals!G39</f>
        <v>3</v>
      </c>
      <c r="H33" s="7">
        <f>Historicals!H39</f>
        <v>0</v>
      </c>
      <c r="I33" s="7">
        <f>Historicals!I39</f>
        <v>500</v>
      </c>
      <c r="J33" s="7">
        <f>+I33*(1+J4)</f>
        <v>524.38367236966189</v>
      </c>
      <c r="K33" s="7">
        <f t="shared" ref="K33:N33" si="18">+J33*(1+K4)</f>
        <v>549.95647169578581</v>
      </c>
      <c r="L33" s="7">
        <f t="shared" si="18"/>
        <v>576.77638854259635</v>
      </c>
      <c r="M33" s="7">
        <f t="shared" si="18"/>
        <v>604.90424152015532</v>
      </c>
      <c r="N33" s="7">
        <f t="shared" si="18"/>
        <v>634.40381520064795</v>
      </c>
      <c r="O33" s="1" t="s">
        <v>200</v>
      </c>
    </row>
    <row r="34" spans="1:15" x14ac:dyDescent="0.25">
      <c r="A34" s="4" t="s">
        <v>49</v>
      </c>
      <c r="B34" s="7">
        <f>Historicals!B40</f>
        <v>74</v>
      </c>
      <c r="C34" s="7">
        <f>Historicals!C40</f>
        <v>1</v>
      </c>
      <c r="D34" s="7">
        <f>Historicals!D40</f>
        <v>325</v>
      </c>
      <c r="E34" s="7">
        <f>Historicals!E40</f>
        <v>336</v>
      </c>
      <c r="F34" s="7">
        <f>Historicals!F40</f>
        <v>9</v>
      </c>
      <c r="G34" s="7">
        <f>Historicals!G40</f>
        <v>248</v>
      </c>
      <c r="H34" s="7">
        <f>Historicals!H40</f>
        <v>2</v>
      </c>
      <c r="I34" s="7">
        <f>Historicals!I40</f>
        <v>10</v>
      </c>
      <c r="J34" s="7">
        <f>+I34*(1+J4)</f>
        <v>10.487673447393238</v>
      </c>
      <c r="K34" s="7">
        <f t="shared" ref="K34:N34" si="19">+J34*(1+K4)</f>
        <v>10.999129433915716</v>
      </c>
      <c r="L34" s="7">
        <f t="shared" si="19"/>
        <v>11.535527770851926</v>
      </c>
      <c r="M34" s="7">
        <f t="shared" si="19"/>
        <v>12.098084830403105</v>
      </c>
      <c r="N34" s="7">
        <f t="shared" si="19"/>
        <v>12.688076304012956</v>
      </c>
      <c r="O34" t="s">
        <v>201</v>
      </c>
    </row>
    <row r="35" spans="1:15" x14ac:dyDescent="0.25">
      <c r="A35" t="s">
        <v>202</v>
      </c>
      <c r="B35" s="7">
        <f>SUM(Historicals!B42:B44)</f>
        <v>4020</v>
      </c>
      <c r="C35" s="7">
        <f>SUM(Historicals!C42:C44)</f>
        <v>3122</v>
      </c>
      <c r="D35" s="7">
        <f>SUM(Historicals!D42:D44)</f>
        <v>3095</v>
      </c>
      <c r="E35" s="7">
        <f>SUM(Historicals!E42:E44)</f>
        <v>3419</v>
      </c>
      <c r="F35" s="7">
        <f>SUM(Historicals!F42:F44)</f>
        <v>5239</v>
      </c>
      <c r="G35" s="7">
        <f>SUM(Historicals!G42:G44)</f>
        <v>5785</v>
      </c>
      <c r="H35" s="7">
        <f>SUM(Historicals!H42:H44)</f>
        <v>6836</v>
      </c>
      <c r="I35" s="7">
        <f>SUM(Historicals!I42:I44)</f>
        <v>6862</v>
      </c>
      <c r="J35" s="7">
        <f>+I35*(1+J4)</f>
        <v>7196.6415196012395</v>
      </c>
      <c r="K35" s="7">
        <f t="shared" ref="K35:N35" si="20">+J35*(1+K4)</f>
        <v>7547.6026175529641</v>
      </c>
      <c r="L35" s="7">
        <f t="shared" si="20"/>
        <v>7915.6791563585921</v>
      </c>
      <c r="M35" s="7">
        <f t="shared" si="20"/>
        <v>8301.7058106226104</v>
      </c>
      <c r="N35" s="7">
        <f t="shared" si="20"/>
        <v>8706.5579598136901</v>
      </c>
    </row>
    <row r="36" spans="1:15" ht="16.5" customHeight="1" x14ac:dyDescent="0.25">
      <c r="A36" t="s">
        <v>55</v>
      </c>
      <c r="B36" s="7">
        <f>Historicals!B46</f>
        <v>1079</v>
      </c>
      <c r="C36" s="7">
        <f>Historicals!C46</f>
        <v>2010</v>
      </c>
      <c r="D36" s="7">
        <f>Historicals!D46</f>
        <v>3471</v>
      </c>
      <c r="E36" s="7">
        <f>Historicals!E46</f>
        <v>3468</v>
      </c>
      <c r="F36" s="7">
        <f>Historicals!F46</f>
        <v>3464</v>
      </c>
      <c r="G36" s="7">
        <f>Historicals!G46</f>
        <v>9406</v>
      </c>
      <c r="H36" s="7">
        <f>Historicals!H46</f>
        <v>9413</v>
      </c>
      <c r="I36" s="7">
        <f>Historicals!I46</f>
        <v>8920</v>
      </c>
      <c r="J36" s="7">
        <f>+I36*(1+J4)</f>
        <v>9355.0047150747687</v>
      </c>
      <c r="K36" s="7">
        <f t="shared" ref="K36:N36" si="21">+J36*(1+K4)</f>
        <v>9811.2234550528192</v>
      </c>
      <c r="L36" s="7">
        <f t="shared" si="21"/>
        <v>10289.690771599919</v>
      </c>
      <c r="M36" s="7">
        <f t="shared" si="21"/>
        <v>10791.491668719571</v>
      </c>
      <c r="N36" s="7">
        <f t="shared" si="21"/>
        <v>11317.764063179558</v>
      </c>
      <c r="O36" s="1" t="str">
        <f>O33</f>
        <v>2022 form 10-K pg121, To date, we have not experienced difficulty accessing the credit markets; however, future volatility in the capital markets may
increase costs associated with issuing commercial paper or other debt instruments or affect our ability to access those markets</v>
      </c>
    </row>
    <row r="37" spans="1:15" x14ac:dyDescent="0.25">
      <c r="A37" s="67" t="s">
        <v>56</v>
      </c>
      <c r="B37" s="7">
        <f>Historicals!B47</f>
        <v>3</v>
      </c>
      <c r="C37" s="7">
        <f>Historicals!C47</f>
        <v>0</v>
      </c>
      <c r="D37" s="7">
        <f>Historicals!D47</f>
        <v>0</v>
      </c>
      <c r="E37" s="7">
        <f>Historicals!E47</f>
        <v>0</v>
      </c>
      <c r="F37" s="7">
        <f>Historicals!F47</f>
        <v>0</v>
      </c>
      <c r="G37" s="7">
        <f>Historicals!G47</f>
        <v>2913</v>
      </c>
      <c r="H37" s="7">
        <f>Historicals!H47</f>
        <v>2931</v>
      </c>
      <c r="I37" s="7">
        <f>Historicals!I47</f>
        <v>2777</v>
      </c>
      <c r="J37" s="7">
        <f>+I37*(1+J4)</f>
        <v>2912.4269163411022</v>
      </c>
      <c r="K37" s="7">
        <f t="shared" ref="K37:N37" si="22">+J37*(1+K4)</f>
        <v>3054.4582437983945</v>
      </c>
      <c r="L37" s="7">
        <f t="shared" si="22"/>
        <v>3203.4160619655804</v>
      </c>
      <c r="M37" s="7">
        <f t="shared" si="22"/>
        <v>3359.6381574029429</v>
      </c>
      <c r="N37" s="7">
        <f t="shared" si="22"/>
        <v>3523.4787896243988</v>
      </c>
    </row>
    <row r="38" spans="1:15" x14ac:dyDescent="0.25">
      <c r="A38" t="s">
        <v>203</v>
      </c>
      <c r="B38" s="7">
        <f>Historicals!B48</f>
        <v>1479</v>
      </c>
      <c r="C38" s="7">
        <f>Historicals!C48</f>
        <v>1770</v>
      </c>
      <c r="D38" s="7">
        <f>Historicals!D48</f>
        <v>1907</v>
      </c>
      <c r="E38" s="7">
        <f>Historicals!E48</f>
        <v>3216</v>
      </c>
      <c r="F38" s="7">
        <f>Historicals!F48</f>
        <v>3347</v>
      </c>
      <c r="G38" s="7">
        <f>Historicals!G48</f>
        <v>2684</v>
      </c>
      <c r="H38" s="7">
        <f>Historicals!H48</f>
        <v>2955</v>
      </c>
      <c r="I38" s="7">
        <f>Historicals!I48</f>
        <v>2613</v>
      </c>
      <c r="J38" s="7">
        <f>+I38*(1+J4)</f>
        <v>2740.4290718038528</v>
      </c>
      <c r="K38" s="7">
        <f t="shared" ref="K38:N38" si="23">+J38*(1+K4)</f>
        <v>2874.0725210821765</v>
      </c>
      <c r="L38" s="7">
        <f t="shared" si="23"/>
        <v>3014.2334065236082</v>
      </c>
      <c r="M38" s="7">
        <f t="shared" si="23"/>
        <v>3161.2295661843314</v>
      </c>
      <c r="N38" s="7">
        <f t="shared" si="23"/>
        <v>3315.3943382385855</v>
      </c>
    </row>
    <row r="39" spans="1:15" x14ac:dyDescent="0.25">
      <c r="A39" t="s">
        <v>204</v>
      </c>
      <c r="B39" s="7"/>
      <c r="C39" s="7"/>
      <c r="D39" s="7"/>
      <c r="E39" s="7"/>
      <c r="F39" s="7"/>
      <c r="G39" s="7"/>
      <c r="H39" s="7"/>
      <c r="I39" s="7"/>
      <c r="J39" s="7">
        <f t="shared" ref="J34:J42" si="24">1.049*I39</f>
        <v>0</v>
      </c>
      <c r="K39" s="7"/>
      <c r="L39" s="7"/>
      <c r="M39" s="7"/>
      <c r="N39" s="7"/>
    </row>
    <row r="40" spans="1:15" x14ac:dyDescent="0.25">
      <c r="A40" s="4" t="s">
        <v>205</v>
      </c>
      <c r="B40" s="7">
        <f>Historicals!B54</f>
        <v>3</v>
      </c>
      <c r="C40" s="7">
        <f>Historicals!C54</f>
        <v>3</v>
      </c>
      <c r="D40" s="7">
        <f>Historicals!D54</f>
        <v>3</v>
      </c>
      <c r="E40" s="7">
        <f>Historicals!E54</f>
        <v>3</v>
      </c>
      <c r="F40" s="7">
        <f>Historicals!F54</f>
        <v>3</v>
      </c>
      <c r="G40" s="7">
        <f>Historicals!G54</f>
        <v>3</v>
      </c>
      <c r="H40" s="7">
        <f>Historicals!H54</f>
        <v>3</v>
      </c>
      <c r="I40" s="7">
        <f>Historicals!I54</f>
        <v>3</v>
      </c>
      <c r="J40" s="7">
        <f t="shared" si="24"/>
        <v>3.1469999999999998</v>
      </c>
      <c r="K40" s="7">
        <f>J40</f>
        <v>3.1469999999999998</v>
      </c>
      <c r="L40" s="7">
        <f>K40</f>
        <v>3.1469999999999998</v>
      </c>
      <c r="M40" s="7">
        <f>L40</f>
        <v>3.1469999999999998</v>
      </c>
      <c r="N40" s="7">
        <f>M40</f>
        <v>3.1469999999999998</v>
      </c>
    </row>
    <row r="41" spans="1:15" x14ac:dyDescent="0.25">
      <c r="A41" s="4" t="s">
        <v>206</v>
      </c>
      <c r="B41" s="7">
        <f>Historicals!B57</f>
        <v>4685</v>
      </c>
      <c r="C41" s="7">
        <f>Historicals!C57</f>
        <v>4151</v>
      </c>
      <c r="D41" s="7">
        <f>Historicals!D57</f>
        <v>6907</v>
      </c>
      <c r="E41" s="7">
        <f>Historicals!E57</f>
        <v>3517</v>
      </c>
      <c r="F41" s="7">
        <f>Historicals!F57</f>
        <v>1643</v>
      </c>
      <c r="G41" s="7">
        <f>Historicals!G57</f>
        <v>-191</v>
      </c>
      <c r="H41" s="7">
        <f>Historicals!H57</f>
        <v>3179</v>
      </c>
      <c r="I41" s="7">
        <f>Historicals!I57</f>
        <v>3476</v>
      </c>
      <c r="J41" s="7">
        <f>+I41*(1+J4)</f>
        <v>3645.5152903138892</v>
      </c>
      <c r="K41" s="7">
        <f t="shared" ref="K41:N41" si="25">+J41*(1+K4)</f>
        <v>3823.2973912291027</v>
      </c>
      <c r="L41" s="7">
        <f t="shared" si="25"/>
        <v>4009.7494531481293</v>
      </c>
      <c r="M41" s="7">
        <f t="shared" si="25"/>
        <v>4205.2942870481193</v>
      </c>
      <c r="N41" s="7">
        <f t="shared" si="25"/>
        <v>4410.3753232749032</v>
      </c>
      <c r="O41" t="s">
        <v>207</v>
      </c>
    </row>
    <row r="42" spans="1:15" x14ac:dyDescent="0.25">
      <c r="A42" s="4" t="s">
        <v>208</v>
      </c>
      <c r="B42" s="7">
        <f>Historicals!B55+Historicals!B56</f>
        <v>8019</v>
      </c>
      <c r="C42" s="7">
        <f>Historicals!C55+Historicals!C56</f>
        <v>8104</v>
      </c>
      <c r="D42" s="7">
        <f>Historicals!D55+Historicals!D56</f>
        <v>5497</v>
      </c>
      <c r="E42" s="7">
        <f>Historicals!E55+Historicals!E56</f>
        <v>6292</v>
      </c>
      <c r="F42" s="7">
        <f>Historicals!F55+Historicals!F56</f>
        <v>7394</v>
      </c>
      <c r="G42" s="7">
        <f>Historicals!G55+Historicals!G56</f>
        <v>8243</v>
      </c>
      <c r="H42" s="7">
        <f>Historicals!H55+Historicals!H56</f>
        <v>9585</v>
      </c>
      <c r="I42" s="7">
        <f>Historicals!I55+Historicals!I56</f>
        <v>11802</v>
      </c>
      <c r="J42" s="7">
        <f>+I42*(1+J4)</f>
        <v>12377.552202613499</v>
      </c>
      <c r="K42" s="7">
        <f t="shared" ref="K42:N42" si="26">+J42*(1+K4)</f>
        <v>12981.172557907326</v>
      </c>
      <c r="L42" s="7">
        <f t="shared" si="26"/>
        <v>13614.229875159443</v>
      </c>
      <c r="M42" s="7">
        <f t="shared" si="26"/>
        <v>14278.159716841743</v>
      </c>
      <c r="N42" s="7">
        <f t="shared" si="26"/>
        <v>14974.467653996089</v>
      </c>
    </row>
    <row r="43" spans="1:15" x14ac:dyDescent="0.25">
      <c r="A43" s="16" t="s">
        <v>209</v>
      </c>
      <c r="B43" s="17">
        <f t="shared" ref="B43:N43" si="27">SUM(B32:B42)</f>
        <v>19469</v>
      </c>
      <c r="C43" s="17">
        <f t="shared" si="27"/>
        <v>19205</v>
      </c>
      <c r="D43" s="17">
        <f t="shared" si="27"/>
        <v>21211</v>
      </c>
      <c r="E43" s="17">
        <f t="shared" si="27"/>
        <v>20257</v>
      </c>
      <c r="F43" s="17">
        <f t="shared" si="27"/>
        <v>21105</v>
      </c>
      <c r="G43" s="17">
        <f t="shared" si="27"/>
        <v>29094</v>
      </c>
      <c r="H43" s="17">
        <f t="shared" si="27"/>
        <v>34904</v>
      </c>
      <c r="I43" s="17">
        <f t="shared" si="27"/>
        <v>36963</v>
      </c>
      <c r="J43" s="17">
        <f t="shared" si="27"/>
        <v>38765.588061565402</v>
      </c>
      <c r="K43" s="17">
        <f t="shared" si="27"/>
        <v>40655.929387752483</v>
      </c>
      <c r="L43" s="17">
        <f t="shared" si="27"/>
        <v>42638.457641068715</v>
      </c>
      <c r="M43" s="17">
        <f t="shared" si="27"/>
        <v>44717.668533169883</v>
      </c>
      <c r="N43" s="17">
        <f t="shared" si="27"/>
        <v>46898.277019631889</v>
      </c>
    </row>
    <row r="44" spans="1:15" s="3" customFormat="1" x14ac:dyDescent="0.25">
      <c r="A44" s="68" t="s">
        <v>210</v>
      </c>
      <c r="B44" s="68">
        <f t="shared" ref="B44:N44" si="28">B31-B43</f>
        <v>0</v>
      </c>
      <c r="C44" s="68">
        <f t="shared" si="28"/>
        <v>0</v>
      </c>
      <c r="D44" s="68">
        <f t="shared" si="28"/>
        <v>0</v>
      </c>
      <c r="E44" s="68">
        <f t="shared" si="28"/>
        <v>0</v>
      </c>
      <c r="F44" s="68">
        <f t="shared" si="28"/>
        <v>0</v>
      </c>
      <c r="G44" s="68">
        <f t="shared" si="28"/>
        <v>0</v>
      </c>
      <c r="H44" s="68">
        <f t="shared" si="28"/>
        <v>0</v>
      </c>
      <c r="I44" s="68">
        <f t="shared" si="28"/>
        <v>0</v>
      </c>
      <c r="J44" s="68">
        <f t="shared" si="28"/>
        <v>-4.1009025953826495E-3</v>
      </c>
      <c r="K44" s="68">
        <f t="shared" si="28"/>
        <v>3.5172401039744727E-3</v>
      </c>
      <c r="L44" s="68">
        <f t="shared" si="28"/>
        <v>2.7206943486817181E-3</v>
      </c>
      <c r="M44" s="68">
        <f t="shared" si="28"/>
        <v>-2.9335032304516062E-3</v>
      </c>
      <c r="N44" s="68">
        <f t="shared" si="28"/>
        <v>4.2027047529700212E-3</v>
      </c>
    </row>
    <row r="45" spans="1:15" x14ac:dyDescent="0.25">
      <c r="A45" s="66" t="s">
        <v>211</v>
      </c>
      <c r="B45" s="40"/>
      <c r="C45" s="40"/>
      <c r="D45" s="40"/>
      <c r="E45" s="40"/>
      <c r="F45" s="40"/>
      <c r="G45" s="40"/>
      <c r="H45" s="40"/>
      <c r="I45" s="40"/>
      <c r="J45" s="40"/>
      <c r="K45" s="40"/>
      <c r="L45" s="40"/>
      <c r="M45" s="40"/>
      <c r="N45" s="40"/>
    </row>
    <row r="46" spans="1:15" x14ac:dyDescent="0.25">
      <c r="A46" s="3" t="s">
        <v>151</v>
      </c>
      <c r="B46" s="10">
        <f>'Segmental forecast'!B11</f>
        <v>4233</v>
      </c>
      <c r="C46" s="10">
        <f>'Segmental forecast'!C11</f>
        <v>4642</v>
      </c>
      <c r="D46" s="10">
        <f>'Segmental forecast'!D11</f>
        <v>4945</v>
      </c>
      <c r="E46" s="10">
        <f>'Segmental forecast'!E11</f>
        <v>4379</v>
      </c>
      <c r="F46" s="10">
        <f>'Segmental forecast'!F11</f>
        <v>4850</v>
      </c>
      <c r="G46" s="10">
        <f>'Segmental forecast'!G11</f>
        <v>2976</v>
      </c>
      <c r="H46" s="10">
        <f>'Segmental forecast'!H11</f>
        <v>6923</v>
      </c>
      <c r="I46" s="10">
        <f>'Segmental forecast'!I11</f>
        <v>6856</v>
      </c>
      <c r="J46" s="10">
        <f>+J7</f>
        <v>6789.648418315759</v>
      </c>
      <c r="K46" s="10">
        <f t="shared" ref="K46:N46" si="29">+K7</f>
        <v>6723.9389796291844</v>
      </c>
      <c r="L46" s="10">
        <f t="shared" si="29"/>
        <v>6658.865469353992</v>
      </c>
      <c r="M46" s="10">
        <f t="shared" si="29"/>
        <v>6594.4217330479514</v>
      </c>
      <c r="N46" s="10">
        <f t="shared" si="29"/>
        <v>6530.6016758308178</v>
      </c>
      <c r="O46" t="s">
        <v>171</v>
      </c>
    </row>
    <row r="47" spans="1:15" x14ac:dyDescent="0.25">
      <c r="A47" t="s">
        <v>148</v>
      </c>
      <c r="B47" s="56">
        <f>'Segmental forecast'!B8</f>
        <v>606</v>
      </c>
      <c r="C47" s="56">
        <f>'Segmental forecast'!C8</f>
        <v>649</v>
      </c>
      <c r="D47" s="56">
        <f>'Segmental forecast'!D8</f>
        <v>706</v>
      </c>
      <c r="E47" s="56">
        <f>'Segmental forecast'!E8</f>
        <v>747</v>
      </c>
      <c r="F47" s="56">
        <f>'Segmental forecast'!F8</f>
        <v>705</v>
      </c>
      <c r="G47" s="56">
        <f>'Segmental forecast'!G8</f>
        <v>721</v>
      </c>
      <c r="H47" s="56">
        <f>'Segmental forecast'!H8</f>
        <v>744</v>
      </c>
      <c r="I47" s="56">
        <f>'Segmental forecast'!I8</f>
        <v>717</v>
      </c>
      <c r="J47" s="56">
        <f>+J6</f>
        <v>690.97983870967744</v>
      </c>
      <c r="K47" s="56">
        <f t="shared" ref="K47:N47" si="30">+K6</f>
        <v>665.90395746618105</v>
      </c>
      <c r="L47" s="56">
        <f t="shared" si="30"/>
        <v>641.73808804200507</v>
      </c>
      <c r="M47" s="56">
        <f t="shared" si="30"/>
        <v>618.4492058146742</v>
      </c>
      <c r="N47" s="56">
        <f t="shared" si="30"/>
        <v>596.00548463591576</v>
      </c>
      <c r="O47" t="s">
        <v>171</v>
      </c>
    </row>
    <row r="48" spans="1:15" x14ac:dyDescent="0.25">
      <c r="A48" t="s">
        <v>212</v>
      </c>
      <c r="B48" s="7">
        <f>Historicals!B67</f>
        <v>-113</v>
      </c>
      <c r="C48" s="7">
        <f>Historicals!C67</f>
        <v>-80</v>
      </c>
      <c r="D48" s="7">
        <f>Historicals!D67</f>
        <v>-273</v>
      </c>
      <c r="E48" s="7">
        <f>Historicals!E67</f>
        <v>647</v>
      </c>
      <c r="F48" s="7">
        <f>Historicals!F67</f>
        <v>34</v>
      </c>
      <c r="G48" s="7">
        <f>Historicals!G67</f>
        <v>-380</v>
      </c>
      <c r="H48" s="7">
        <f>Historicals!H67</f>
        <v>-385</v>
      </c>
      <c r="I48" s="7">
        <f>Historicals!I67</f>
        <v>-650</v>
      </c>
      <c r="J48" s="72">
        <f>+J12</f>
        <v>838.52157966199616</v>
      </c>
      <c r="K48" s="72">
        <f t="shared" ref="K48:N48" si="31">+K12</f>
        <v>830.40646398420427</v>
      </c>
      <c r="L48" s="72">
        <f t="shared" si="31"/>
        <v>822.36988546521798</v>
      </c>
      <c r="M48" s="72">
        <f t="shared" si="31"/>
        <v>814.41108403142198</v>
      </c>
      <c r="N48" s="72">
        <f t="shared" si="31"/>
        <v>806.529306965106</v>
      </c>
      <c r="O48" t="s">
        <v>213</v>
      </c>
    </row>
    <row r="49" spans="1:15" x14ac:dyDescent="0.25">
      <c r="A49" s="3" t="s">
        <v>214</v>
      </c>
      <c r="B49" s="10">
        <f>B46*(1-0.222)</f>
        <v>3293.2739999999999</v>
      </c>
      <c r="C49" s="10">
        <f>C46*(1-0.187)</f>
        <v>3773.9459999999999</v>
      </c>
      <c r="D49" s="10">
        <f>D46*(1-0.132)</f>
        <v>4292.26</v>
      </c>
      <c r="E49" s="10">
        <f>E46*(1-0.553)</f>
        <v>1957.4129999999998</v>
      </c>
      <c r="F49" s="10">
        <f>F46*(1-0.161)</f>
        <v>4069.1499999999996</v>
      </c>
      <c r="G49" s="10">
        <f>G46*(1-0.121)</f>
        <v>2615.904</v>
      </c>
      <c r="H49" s="10">
        <f>H46*(1-0.14)</f>
        <v>5953.78</v>
      </c>
      <c r="I49" s="10">
        <f>I46*(1-0.091)</f>
        <v>6232.1040000000003</v>
      </c>
      <c r="J49" s="10">
        <f>+J46-J48</f>
        <v>5951.1268386537631</v>
      </c>
      <c r="K49" s="10">
        <f t="shared" ref="K49:N49" si="32">+K46-K48</f>
        <v>5893.5325156449799</v>
      </c>
      <c r="L49" s="10">
        <f t="shared" si="32"/>
        <v>5836.4955838887745</v>
      </c>
      <c r="M49" s="10">
        <f t="shared" si="32"/>
        <v>5780.010649016529</v>
      </c>
      <c r="N49" s="10">
        <f t="shared" si="32"/>
        <v>5724.0723688657117</v>
      </c>
    </row>
    <row r="50" spans="1:15" x14ac:dyDescent="0.25">
      <c r="A50" t="s">
        <v>215</v>
      </c>
      <c r="B50" s="7">
        <f>Historicals!B100</f>
        <v>53</v>
      </c>
      <c r="C50" s="7">
        <f>Historicals!C100</f>
        <v>70</v>
      </c>
      <c r="D50" s="7">
        <f>Historicals!D100</f>
        <v>98</v>
      </c>
      <c r="E50" s="7">
        <f>Historicals!E100</f>
        <v>125</v>
      </c>
      <c r="F50" s="7">
        <f>Historicals!F100</f>
        <v>153</v>
      </c>
      <c r="G50" s="7">
        <f>Historicals!G100</f>
        <v>140</v>
      </c>
      <c r="H50" s="7">
        <f>Historicals!H100</f>
        <v>293</v>
      </c>
      <c r="I50" s="7">
        <f>Historicals!I100</f>
        <v>290</v>
      </c>
      <c r="J50" s="7">
        <f>+I50*(1+J4)</f>
        <v>304.14252997440389</v>
      </c>
      <c r="K50" s="7">
        <f t="shared" ref="K50:N50" si="33">+J50*(1+K4)</f>
        <v>318.97475358355575</v>
      </c>
      <c r="L50" s="7">
        <f t="shared" si="33"/>
        <v>334.53030535470589</v>
      </c>
      <c r="M50" s="7">
        <f t="shared" si="33"/>
        <v>350.8444600816901</v>
      </c>
      <c r="N50" s="7">
        <f t="shared" si="33"/>
        <v>367.95421281637579</v>
      </c>
    </row>
    <row r="51" spans="1:15" x14ac:dyDescent="0.25">
      <c r="A51" t="s">
        <v>216</v>
      </c>
      <c r="B51" s="7">
        <f>SUM(Historicals!B72:B75)</f>
        <v>256</v>
      </c>
      <c r="C51" s="7">
        <f>SUM(Historicals!C72:C75)</f>
        <v>-1580</v>
      </c>
      <c r="D51" s="7">
        <f>SUM(Historicals!D72:D75)</f>
        <v>-935</v>
      </c>
      <c r="E51" s="7">
        <f>SUM(Historicals!E72:E75)</f>
        <v>1482</v>
      </c>
      <c r="F51" s="7">
        <f>SUM(Historicals!F72:F75)</f>
        <v>562</v>
      </c>
      <c r="G51" s="7">
        <f>SUM(Historicals!G72:G75)</f>
        <v>-1245</v>
      </c>
      <c r="H51" s="7">
        <f>SUM(Historicals!H72:H75)</f>
        <v>45</v>
      </c>
      <c r="I51" s="7">
        <f>SUM(Historicals!I72:I75)</f>
        <v>-1660</v>
      </c>
      <c r="J51" s="7">
        <f>I23-J23</f>
        <v>421.29469217297446</v>
      </c>
      <c r="K51" s="7">
        <f t="shared" ref="K51:N51" si="34">J23-K23</f>
        <v>-453.9120734788321</v>
      </c>
      <c r="L51" s="7">
        <f t="shared" si="34"/>
        <v>-476.04816004751774</v>
      </c>
      <c r="M51" s="7">
        <f t="shared" si="34"/>
        <v>-499.26376478107704</v>
      </c>
      <c r="N51" s="7">
        <f t="shared" si="34"/>
        <v>-523.6115329140066</v>
      </c>
    </row>
    <row r="52" spans="1:15" x14ac:dyDescent="0.25">
      <c r="A52" t="s">
        <v>153</v>
      </c>
      <c r="B52" s="7">
        <f>Historicals!B81-Historicals!B102</f>
        <v>-1166</v>
      </c>
      <c r="C52" s="7">
        <f>Historicals!C81-Historicals!C102</f>
        <v>-1385</v>
      </c>
      <c r="D52" s="7">
        <f>Historicals!D81-Historicals!D102</f>
        <v>-1358</v>
      </c>
      <c r="E52" s="7">
        <f>Historicals!E81-Historicals!E102</f>
        <v>-1319</v>
      </c>
      <c r="F52" s="7">
        <f>Historicals!F81-Historicals!F102</f>
        <v>-1279</v>
      </c>
      <c r="G52" s="7">
        <f>Historicals!G81-Historicals!G102</f>
        <v>-1207</v>
      </c>
      <c r="H52" s="7">
        <f>Historicals!H81-Historicals!H102</f>
        <v>-874</v>
      </c>
      <c r="I52" s="7">
        <f>Historicals!I81-Historicals!I102</f>
        <v>-918</v>
      </c>
      <c r="J52" s="7">
        <f>-'Segmental forecast'!J14</f>
        <v>-831.50568900126427</v>
      </c>
      <c r="K52" s="7">
        <f>-'Segmental forecast'!K14</f>
        <v>-852.52985307209281</v>
      </c>
      <c r="L52" s="7">
        <f>-'Segmental forecast'!L14</f>
        <v>-874.0856015694909</v>
      </c>
      <c r="M52" s="7">
        <f>-'Segmental forecast'!M14</f>
        <v>-896.18637531334662</v>
      </c>
      <c r="N52" s="7">
        <f>-'Segmental forecast'!N14</f>
        <v>-918.84595496728718</v>
      </c>
      <c r="O52" t="s">
        <v>171</v>
      </c>
    </row>
    <row r="53" spans="1:15" x14ac:dyDescent="0.25">
      <c r="A53" s="3" t="s">
        <v>217</v>
      </c>
      <c r="B53" s="10">
        <f t="shared" ref="B53:I53" si="35">B55+(28*1-0.222)-B26</f>
        <v>1696.7780000000002</v>
      </c>
      <c r="C53" s="10">
        <f t="shared" si="35"/>
        <v>-396.22200000000021</v>
      </c>
      <c r="D53" s="10">
        <f t="shared" si="35"/>
        <v>-115.22200000000021</v>
      </c>
      <c r="E53" s="10">
        <f t="shared" si="35"/>
        <v>528.77800000000025</v>
      </c>
      <c r="F53" s="10">
        <f t="shared" si="35"/>
        <v>1186.7780000000002</v>
      </c>
      <c r="G53" s="10">
        <f t="shared" si="35"/>
        <v>-2353.2220000000002</v>
      </c>
      <c r="H53" s="10">
        <f t="shared" si="35"/>
        <v>1780.7780000000002</v>
      </c>
      <c r="I53" s="10">
        <f t="shared" si="35"/>
        <v>424.77800000000025</v>
      </c>
      <c r="J53" s="10">
        <f>+J47+J49+J51+J52</f>
        <v>6231.8956805351499</v>
      </c>
      <c r="K53" s="10">
        <f t="shared" ref="K53:N53" si="36">+K47+K49+K51+K52</f>
        <v>5252.9945465602359</v>
      </c>
      <c r="L53" s="10">
        <f t="shared" si="36"/>
        <v>5128.099910313771</v>
      </c>
      <c r="M53" s="10">
        <f t="shared" si="36"/>
        <v>5003.0097147367796</v>
      </c>
      <c r="N53" s="10">
        <f t="shared" si="36"/>
        <v>4877.6203656203334</v>
      </c>
    </row>
    <row r="54" spans="1:15" x14ac:dyDescent="0.25">
      <c r="A54" t="s">
        <v>218</v>
      </c>
      <c r="B54" s="7">
        <v>0</v>
      </c>
      <c r="C54" s="7">
        <v>0</v>
      </c>
      <c r="D54" s="7">
        <v>0</v>
      </c>
      <c r="E54" s="7">
        <v>0</v>
      </c>
      <c r="F54" s="7">
        <v>0</v>
      </c>
      <c r="G54" s="7">
        <v>0</v>
      </c>
      <c r="H54" s="7">
        <v>0</v>
      </c>
      <c r="I54" s="7">
        <v>0</v>
      </c>
      <c r="J54" s="7">
        <v>0</v>
      </c>
      <c r="K54" s="7">
        <v>0</v>
      </c>
      <c r="L54" s="7">
        <v>0</v>
      </c>
      <c r="M54" s="7">
        <v>0</v>
      </c>
      <c r="N54" s="7">
        <v>0</v>
      </c>
    </row>
    <row r="55" spans="1:15" ht="13.35" customHeight="1" x14ac:dyDescent="0.25">
      <c r="A55" s="26" t="s">
        <v>219</v>
      </c>
      <c r="B55" s="25">
        <f>Historicals!B76</f>
        <v>4680</v>
      </c>
      <c r="C55" s="25">
        <f>Historicals!C76</f>
        <v>3096</v>
      </c>
      <c r="D55" s="25">
        <f>Historicals!D76</f>
        <v>3846</v>
      </c>
      <c r="E55" s="25">
        <f>Historicals!E76</f>
        <v>4955</v>
      </c>
      <c r="F55" s="25">
        <f>Historicals!F76</f>
        <v>5903</v>
      </c>
      <c r="G55" s="25">
        <f>Historicals!G76</f>
        <v>2485</v>
      </c>
      <c r="H55" s="25">
        <f>Historicals!H76</f>
        <v>6657</v>
      </c>
      <c r="I55" s="25">
        <f>Historicals!I76</f>
        <v>5188</v>
      </c>
      <c r="J55" s="25">
        <f>SUM(J49,J51,J47,J54,J50)</f>
        <v>7367.5438995108188</v>
      </c>
      <c r="K55" s="25">
        <f t="shared" ref="K55:N55" si="37">SUM(K49,K51,K47,K54,K50)</f>
        <v>6424.4991532158847</v>
      </c>
      <c r="L55" s="25">
        <f t="shared" si="37"/>
        <v>6336.7158172379677</v>
      </c>
      <c r="M55" s="25">
        <f t="shared" si="37"/>
        <v>6250.0405501318164</v>
      </c>
      <c r="N55" s="25">
        <f t="shared" si="37"/>
        <v>6164.4205334039962</v>
      </c>
      <c r="O55" s="1" t="s">
        <v>220</v>
      </c>
    </row>
    <row r="56" spans="1:15" x14ac:dyDescent="0.25">
      <c r="A56" t="s">
        <v>221</v>
      </c>
      <c r="B56" s="69">
        <v>17</v>
      </c>
      <c r="C56" s="69">
        <v>16</v>
      </c>
      <c r="D56" s="69">
        <v>2</v>
      </c>
      <c r="E56" s="69">
        <v>4</v>
      </c>
      <c r="F56" s="69">
        <v>2</v>
      </c>
      <c r="G56" s="69">
        <v>28</v>
      </c>
      <c r="H56" s="69">
        <v>23</v>
      </c>
      <c r="I56" s="69">
        <v>27</v>
      </c>
      <c r="J56" s="7">
        <v>0</v>
      </c>
      <c r="K56" s="7">
        <v>0</v>
      </c>
      <c r="L56" s="7">
        <v>0</v>
      </c>
      <c r="M56" s="7">
        <v>0</v>
      </c>
      <c r="N56" s="7">
        <v>0</v>
      </c>
    </row>
    <row r="57" spans="1:15" x14ac:dyDescent="0.25">
      <c r="A57" t="s">
        <v>222</v>
      </c>
      <c r="B57" s="69">
        <v>0</v>
      </c>
      <c r="C57" s="69">
        <v>6</v>
      </c>
      <c r="D57" s="69">
        <f>-34</f>
        <v>-34</v>
      </c>
      <c r="E57" s="69">
        <f>-22</f>
        <v>-22</v>
      </c>
      <c r="F57" s="69">
        <v>5</v>
      </c>
      <c r="G57" s="69">
        <v>31</v>
      </c>
      <c r="H57" s="69">
        <v>171</v>
      </c>
      <c r="I57" s="69">
        <f>-19</f>
        <v>-19</v>
      </c>
      <c r="J57" s="69">
        <v>0</v>
      </c>
      <c r="K57" s="69">
        <v>0</v>
      </c>
      <c r="L57" s="69">
        <v>0</v>
      </c>
      <c r="M57" s="69">
        <v>0</v>
      </c>
      <c r="N57" s="69">
        <v>0</v>
      </c>
    </row>
    <row r="58" spans="1:15" ht="18.2" customHeight="1" x14ac:dyDescent="0.25">
      <c r="A58" s="26" t="s">
        <v>223</v>
      </c>
      <c r="B58" s="25">
        <f>Historicals!B83</f>
        <v>-175</v>
      </c>
      <c r="C58" s="25">
        <f>Historicals!C83</f>
        <v>-1034</v>
      </c>
      <c r="D58" s="25">
        <f>Historicals!D83</f>
        <v>-1008</v>
      </c>
      <c r="E58" s="25">
        <f>Historicals!E83</f>
        <v>276</v>
      </c>
      <c r="F58" s="25">
        <f>Historicals!F83</f>
        <v>-264</v>
      </c>
      <c r="G58" s="25">
        <f>Historicals!G83</f>
        <v>-1028</v>
      </c>
      <c r="H58" s="25">
        <f>Historicals!H83</f>
        <v>-3800</v>
      </c>
      <c r="I58" s="25">
        <f>Historicals!I83</f>
        <v>-1524</v>
      </c>
      <c r="J58" s="25">
        <f>SUM(J52,J56,57)</f>
        <v>-774.50568900126427</v>
      </c>
      <c r="K58" s="25">
        <f t="shared" ref="K58:N58" si="38">SUM(K52,K56,57)</f>
        <v>-795.52985307209281</v>
      </c>
      <c r="L58" s="25">
        <f t="shared" si="38"/>
        <v>-817.0856015694909</v>
      </c>
      <c r="M58" s="25">
        <f t="shared" si="38"/>
        <v>-839.18637531334662</v>
      </c>
      <c r="N58" s="25">
        <f t="shared" si="38"/>
        <v>-861.84595496728718</v>
      </c>
      <c r="O58" s="1" t="s">
        <v>224</v>
      </c>
    </row>
    <row r="59" spans="1:15" ht="12" customHeight="1" x14ac:dyDescent="0.25">
      <c r="A59" t="s">
        <v>225</v>
      </c>
      <c r="B59" s="7">
        <f>Historicals!B89</f>
        <v>-2534</v>
      </c>
      <c r="C59" s="7">
        <f>Historicals!C89</f>
        <v>-3238</v>
      </c>
      <c r="D59" s="7">
        <f>Historicals!D89</f>
        <v>-3223</v>
      </c>
      <c r="E59" s="7">
        <f>Historicals!E89</f>
        <v>-4254</v>
      </c>
      <c r="F59" s="7">
        <f>Historicals!F89</f>
        <v>-4286</v>
      </c>
      <c r="G59" s="7">
        <f>Historicals!G89</f>
        <v>-3067</v>
      </c>
      <c r="H59" s="7">
        <f>Historicals!H89</f>
        <v>-608</v>
      </c>
      <c r="I59" s="7">
        <f>Historicals!I89</f>
        <v>-4014</v>
      </c>
      <c r="J59" s="7">
        <f>+I59+I59*J60</f>
        <v>-4214.7</v>
      </c>
      <c r="K59" s="7">
        <f t="shared" ref="K59:N59" si="39">+J59+J59*K60</f>
        <v>-4425.4349999999995</v>
      </c>
      <c r="L59" s="7">
        <f t="shared" si="39"/>
        <v>-4646.7067499999994</v>
      </c>
      <c r="M59" s="7">
        <f t="shared" si="39"/>
        <v>-4879.0420874999991</v>
      </c>
      <c r="N59" s="7">
        <f t="shared" si="39"/>
        <v>-5122.9941918749992</v>
      </c>
      <c r="O59" s="1" t="s">
        <v>226</v>
      </c>
    </row>
    <row r="60" spans="1:15" x14ac:dyDescent="0.25">
      <c r="A60" s="63" t="s">
        <v>144</v>
      </c>
      <c r="B60" s="60" t="str">
        <f>IFERROR(B89/A89-1,"nm")</f>
        <v>nm</v>
      </c>
      <c r="C60" s="60">
        <f t="shared" ref="C60:N60" si="40">C59/B59-1</f>
        <v>0.27782162588792425</v>
      </c>
      <c r="D60" s="60">
        <f t="shared" si="40"/>
        <v>-4.6324891908585686E-3</v>
      </c>
      <c r="E60" s="60">
        <f t="shared" si="40"/>
        <v>0.31988830282345648</v>
      </c>
      <c r="F60" s="60">
        <f t="shared" si="40"/>
        <v>7.5223319228960861E-3</v>
      </c>
      <c r="G60" s="60">
        <f t="shared" si="40"/>
        <v>-0.28441437237517497</v>
      </c>
      <c r="H60" s="60">
        <f t="shared" si="40"/>
        <v>-0.80176067818715357</v>
      </c>
      <c r="I60" s="60">
        <f t="shared" si="40"/>
        <v>5.6019736842105265</v>
      </c>
      <c r="J60" s="60">
        <v>0.05</v>
      </c>
      <c r="K60" s="60">
        <v>0.05</v>
      </c>
      <c r="L60" s="60">
        <v>0.05</v>
      </c>
      <c r="M60" s="60">
        <v>0.05</v>
      </c>
      <c r="N60" s="60">
        <v>0.05</v>
      </c>
    </row>
    <row r="61" spans="1:15" x14ac:dyDescent="0.25">
      <c r="A61" t="s">
        <v>227</v>
      </c>
      <c r="B61" s="7">
        <f>Historicals!B90</f>
        <v>-899</v>
      </c>
      <c r="C61" s="7">
        <f>Historicals!C90</f>
        <v>-1022</v>
      </c>
      <c r="D61" s="7">
        <f>Historicals!D90</f>
        <v>-1133</v>
      </c>
      <c r="E61" s="7">
        <f>Historicals!E90</f>
        <v>-1243</v>
      </c>
      <c r="F61" s="7">
        <f>Historicals!F90</f>
        <v>-1332</v>
      </c>
      <c r="G61" s="7">
        <f>Historicals!G90</f>
        <v>-1452</v>
      </c>
      <c r="H61" s="7">
        <f>Historicals!H90</f>
        <v>-1638</v>
      </c>
      <c r="I61" s="7">
        <f>Historicals!I90</f>
        <v>-1837</v>
      </c>
      <c r="J61" s="7">
        <v>-1064</v>
      </c>
      <c r="K61" s="7">
        <v>-722</v>
      </c>
      <c r="L61" s="7">
        <v>-367</v>
      </c>
      <c r="M61" s="7">
        <v>-2</v>
      </c>
      <c r="N61" s="7">
        <v>0</v>
      </c>
      <c r="O61" t="s">
        <v>228</v>
      </c>
    </row>
    <row r="62" spans="1:15" ht="13.5" customHeight="1" x14ac:dyDescent="0.25">
      <c r="A62" t="s">
        <v>229</v>
      </c>
      <c r="B62" s="7">
        <f>Historicals!B85</f>
        <v>0</v>
      </c>
      <c r="C62" s="7">
        <f>Historicals!C85</f>
        <v>981</v>
      </c>
      <c r="D62" s="7">
        <f>Historicals!D85</f>
        <v>1482</v>
      </c>
      <c r="E62" s="7">
        <f>Historicals!E85</f>
        <v>0</v>
      </c>
      <c r="F62" s="7">
        <f>Historicals!F85</f>
        <v>0</v>
      </c>
      <c r="G62" s="7">
        <f>Historicals!G85</f>
        <v>6134</v>
      </c>
      <c r="H62" s="7">
        <f>Historicals!H85</f>
        <v>0</v>
      </c>
      <c r="I62" s="7">
        <f>Historicals!I85</f>
        <v>0</v>
      </c>
      <c r="J62" s="7">
        <f t="shared" ref="J62:N63" si="41">I62</f>
        <v>0</v>
      </c>
      <c r="K62" s="7">
        <f t="shared" si="41"/>
        <v>0</v>
      </c>
      <c r="L62" s="7">
        <f t="shared" si="41"/>
        <v>0</v>
      </c>
      <c r="M62" s="7">
        <f t="shared" si="41"/>
        <v>0</v>
      </c>
      <c r="N62" s="7">
        <f t="shared" si="41"/>
        <v>0</v>
      </c>
      <c r="O62" s="1" t="s">
        <v>230</v>
      </c>
    </row>
    <row r="63" spans="1:15" x14ac:dyDescent="0.25">
      <c r="A63" t="s">
        <v>231</v>
      </c>
      <c r="B63" s="7">
        <f>Historicals!B91</f>
        <v>218</v>
      </c>
      <c r="C63" s="7">
        <f>Historicals!C91</f>
        <v>-22</v>
      </c>
      <c r="D63" s="7">
        <f>Historicals!D91</f>
        <v>-29</v>
      </c>
      <c r="E63" s="7">
        <f>Historicals!E91</f>
        <v>-84</v>
      </c>
      <c r="F63" s="7">
        <f>Historicals!F91</f>
        <v>-50</v>
      </c>
      <c r="G63" s="7">
        <f>Historicals!G91</f>
        <v>-58</v>
      </c>
      <c r="H63" s="7">
        <f>Historicals!H91</f>
        <v>-136</v>
      </c>
      <c r="I63" s="7">
        <f>Historicals!I91</f>
        <v>-151</v>
      </c>
      <c r="J63" s="7">
        <v>0</v>
      </c>
      <c r="K63" s="7">
        <v>0</v>
      </c>
      <c r="L63" s="7">
        <v>0</v>
      </c>
      <c r="M63" s="7">
        <v>0</v>
      </c>
      <c r="N63" s="7">
        <v>0</v>
      </c>
    </row>
    <row r="64" spans="1:15" x14ac:dyDescent="0.25">
      <c r="A64" s="26" t="s">
        <v>232</v>
      </c>
      <c r="B64" s="25">
        <f t="shared" ref="B64:I64" si="42">B62+B61+B59+B63</f>
        <v>-3215</v>
      </c>
      <c r="C64" s="25">
        <f t="shared" si="42"/>
        <v>-3301</v>
      </c>
      <c r="D64" s="25">
        <f t="shared" si="42"/>
        <v>-2903</v>
      </c>
      <c r="E64" s="25">
        <f t="shared" si="42"/>
        <v>-5581</v>
      </c>
      <c r="F64" s="25">
        <f t="shared" si="42"/>
        <v>-5668</v>
      </c>
      <c r="G64" s="25">
        <f t="shared" si="42"/>
        <v>1557</v>
      </c>
      <c r="H64" s="25">
        <f t="shared" si="42"/>
        <v>-2382</v>
      </c>
      <c r="I64" s="25">
        <f t="shared" si="42"/>
        <v>-6002</v>
      </c>
      <c r="J64" s="25">
        <f>J62+J61+J59+J63</f>
        <v>-5278.7</v>
      </c>
      <c r="K64" s="25">
        <f t="shared" ref="K64" si="43">K62+K61+K59+K63</f>
        <v>-5147.4349999999995</v>
      </c>
      <c r="L64" s="25">
        <f t="shared" ref="L64" si="44">L62+L61+L59+L63</f>
        <v>-5013.7067499999994</v>
      </c>
      <c r="M64" s="25">
        <f t="shared" ref="M64" si="45">M62+M61+M59+M63</f>
        <v>-4881.0420874999991</v>
      </c>
      <c r="N64" s="25">
        <f t="shared" ref="N64" si="46">N62+N61+N59+N63</f>
        <v>-5122.9941918749992</v>
      </c>
      <c r="O64" t="s">
        <v>233</v>
      </c>
    </row>
    <row r="65" spans="1:14" x14ac:dyDescent="0.25">
      <c r="A65" t="s">
        <v>234</v>
      </c>
      <c r="B65" s="7">
        <f>Historicals!B93</f>
        <v>-83</v>
      </c>
      <c r="C65" s="7">
        <f>Historicals!C93</f>
        <v>-105</v>
      </c>
      <c r="D65" s="7">
        <f>Historicals!D93</f>
        <v>-20</v>
      </c>
      <c r="E65" s="7">
        <f>Historicals!E93</f>
        <v>45</v>
      </c>
      <c r="F65" s="7">
        <f>Historicals!F93</f>
        <v>-129</v>
      </c>
      <c r="G65" s="7">
        <f>Historicals!G93</f>
        <v>-66</v>
      </c>
      <c r="H65" s="7">
        <f>Historicals!H93</f>
        <v>143</v>
      </c>
      <c r="I65" s="7">
        <f>Historicals!I93</f>
        <v>-143</v>
      </c>
      <c r="J65" s="7">
        <v>0</v>
      </c>
      <c r="K65" s="7">
        <v>0</v>
      </c>
      <c r="L65" s="7">
        <v>0</v>
      </c>
      <c r="M65" s="7">
        <v>0</v>
      </c>
      <c r="N65" s="7">
        <v>0</v>
      </c>
    </row>
    <row r="66" spans="1:14" x14ac:dyDescent="0.25">
      <c r="A66" s="26" t="s">
        <v>235</v>
      </c>
      <c r="B66" s="25">
        <f t="shared" ref="B66:N66" si="47">B68-B67</f>
        <v>1632</v>
      </c>
      <c r="C66" s="25">
        <f t="shared" si="47"/>
        <v>-714</v>
      </c>
      <c r="D66" s="25">
        <f t="shared" si="47"/>
        <v>670</v>
      </c>
      <c r="E66" s="25">
        <f t="shared" si="47"/>
        <v>441</v>
      </c>
      <c r="F66" s="25">
        <f t="shared" si="47"/>
        <v>217</v>
      </c>
      <c r="G66" s="25">
        <f t="shared" si="47"/>
        <v>3882</v>
      </c>
      <c r="H66" s="25">
        <f t="shared" si="47"/>
        <v>1541</v>
      </c>
      <c r="I66" s="25">
        <f t="shared" si="47"/>
        <v>-1315</v>
      </c>
      <c r="J66" s="25">
        <f>+J55+J58+J64</f>
        <v>1314.3382105095543</v>
      </c>
      <c r="K66" s="25">
        <f t="shared" ref="K66:N66" si="48">+K55+K58+K64</f>
        <v>481.53430014379228</v>
      </c>
      <c r="L66" s="25">
        <f t="shared" si="48"/>
        <v>505.92346566847755</v>
      </c>
      <c r="M66" s="25">
        <f t="shared" si="48"/>
        <v>529.81208731847073</v>
      </c>
      <c r="N66" s="25">
        <f t="shared" si="48"/>
        <v>179.58038656170993</v>
      </c>
    </row>
    <row r="67" spans="1:14" x14ac:dyDescent="0.25">
      <c r="A67" t="s">
        <v>236</v>
      </c>
      <c r="B67" s="7">
        <f>Historicals!B95</f>
        <v>2220</v>
      </c>
      <c r="C67" s="7">
        <f>Historicals!C95</f>
        <v>3852</v>
      </c>
      <c r="D67" s="7">
        <f>Historicals!D95</f>
        <v>3138</v>
      </c>
      <c r="E67" s="7">
        <f>Historicals!E95</f>
        <v>3808</v>
      </c>
      <c r="F67" s="7">
        <f>Historicals!F95</f>
        <v>4249</v>
      </c>
      <c r="G67" s="7">
        <f>Historicals!G95</f>
        <v>4466</v>
      </c>
      <c r="H67" s="7">
        <f>Historicals!H95</f>
        <v>8348</v>
      </c>
      <c r="I67" s="7">
        <f>Historicals!I95</f>
        <v>9889</v>
      </c>
      <c r="J67" s="7">
        <f>I68</f>
        <v>8574</v>
      </c>
      <c r="K67" s="7">
        <f>J68</f>
        <v>9888.3382105095552</v>
      </c>
      <c r="L67" s="7">
        <f>K68</f>
        <v>10369.872510653347</v>
      </c>
      <c r="M67" s="7">
        <f>L68</f>
        <v>10875.795976321824</v>
      </c>
      <c r="N67" s="7">
        <f>M68</f>
        <v>11405.608063640295</v>
      </c>
    </row>
    <row r="68" spans="1:14" x14ac:dyDescent="0.25">
      <c r="A68" s="16" t="s">
        <v>237</v>
      </c>
      <c r="B68" s="17">
        <f>Historicals!B96</f>
        <v>3852</v>
      </c>
      <c r="C68" s="17">
        <f>Historicals!C96</f>
        <v>3138</v>
      </c>
      <c r="D68" s="17">
        <f>Historicals!D96</f>
        <v>3808</v>
      </c>
      <c r="E68" s="17">
        <f>Historicals!E96</f>
        <v>4249</v>
      </c>
      <c r="F68" s="17">
        <f>Historicals!F96</f>
        <v>4466</v>
      </c>
      <c r="G68" s="17">
        <f>Historicals!G96</f>
        <v>8348</v>
      </c>
      <c r="H68" s="17">
        <f>Historicals!H96</f>
        <v>9889</v>
      </c>
      <c r="I68" s="17">
        <f>Historicals!I96</f>
        <v>8574</v>
      </c>
      <c r="J68" s="17">
        <f>+J66+J67</f>
        <v>9888.3382105095552</v>
      </c>
      <c r="K68" s="17">
        <f t="shared" ref="K68:N68" si="49">+K66+K67</f>
        <v>10369.872510653347</v>
      </c>
      <c r="L68" s="17">
        <f t="shared" si="49"/>
        <v>10875.795976321824</v>
      </c>
      <c r="M68" s="17">
        <f t="shared" si="49"/>
        <v>11405.608063640295</v>
      </c>
      <c r="N68" s="17">
        <f t="shared" si="49"/>
        <v>11585.188450202004</v>
      </c>
    </row>
    <row r="69" spans="1:14" x14ac:dyDescent="0.25">
      <c r="A69" s="68" t="s">
        <v>210</v>
      </c>
      <c r="B69" s="70">
        <f>+B68-B21</f>
        <v>0</v>
      </c>
      <c r="C69" s="70">
        <f t="shared" ref="C69:N69" si="50">+C68-C21</f>
        <v>0</v>
      </c>
      <c r="D69" s="70">
        <f t="shared" si="50"/>
        <v>0</v>
      </c>
      <c r="E69" s="70">
        <f t="shared" si="50"/>
        <v>0</v>
      </c>
      <c r="F69" s="70">
        <f t="shared" si="50"/>
        <v>0</v>
      </c>
      <c r="G69" s="70">
        <f t="shared" si="50"/>
        <v>0</v>
      </c>
      <c r="H69" s="70">
        <f t="shared" si="50"/>
        <v>0</v>
      </c>
      <c r="I69" s="70">
        <f t="shared" si="50"/>
        <v>0</v>
      </c>
      <c r="J69" s="70">
        <f t="shared" si="50"/>
        <v>0.45821050955601095</v>
      </c>
      <c r="K69" s="70">
        <f t="shared" si="50"/>
        <v>-6.7489346653019311E-2</v>
      </c>
      <c r="L69" s="70">
        <f t="shared" si="50"/>
        <v>0.29597632182412781</v>
      </c>
      <c r="M69" s="70">
        <f t="shared" si="50"/>
        <v>-0.1019363597042684</v>
      </c>
      <c r="N69" s="70">
        <f t="shared" si="50"/>
        <v>-376.601549797997</v>
      </c>
    </row>
    <row r="70" spans="1:14" x14ac:dyDescent="0.25">
      <c r="A70" s="3" t="s">
        <v>238</v>
      </c>
      <c r="B70" s="51">
        <f t="shared" ref="B70:N70" si="51">SUM(B33:B38)-B68</f>
        <v>2910</v>
      </c>
      <c r="C70" s="51">
        <f t="shared" si="51"/>
        <v>3809</v>
      </c>
      <c r="D70" s="51">
        <f t="shared" si="51"/>
        <v>4996</v>
      </c>
      <c r="E70" s="51">
        <f t="shared" si="51"/>
        <v>6196</v>
      </c>
      <c r="F70" s="51">
        <f t="shared" si="51"/>
        <v>7599</v>
      </c>
      <c r="G70" s="51">
        <f t="shared" si="51"/>
        <v>12691</v>
      </c>
      <c r="H70" s="51">
        <f t="shared" si="51"/>
        <v>12248</v>
      </c>
      <c r="I70" s="51">
        <f t="shared" si="51"/>
        <v>13108</v>
      </c>
      <c r="J70" s="51">
        <f t="shared" si="51"/>
        <v>12851.035358128462</v>
      </c>
      <c r="K70" s="51">
        <f t="shared" si="51"/>
        <v>13478.439927962709</v>
      </c>
      <c r="L70" s="51">
        <f t="shared" si="51"/>
        <v>14135.535336439323</v>
      </c>
      <c r="M70" s="51">
        <f t="shared" si="51"/>
        <v>14825.45946563972</v>
      </c>
      <c r="N70" s="51">
        <f t="shared" si="51"/>
        <v>15925.098592158887</v>
      </c>
    </row>
    <row r="72" spans="1:14" x14ac:dyDescent="0.25">
      <c r="A72" t="s">
        <v>239</v>
      </c>
      <c r="B72" s="71">
        <v>112.693331153846</v>
      </c>
    </row>
    <row r="73" spans="1:14" x14ac:dyDescent="0.25">
      <c r="A73" t="s">
        <v>240</v>
      </c>
    </row>
    <row r="74" spans="1:14" x14ac:dyDescent="0.25">
      <c r="A74" t="s">
        <v>241</v>
      </c>
    </row>
  </sheetData>
  <pageMargins left="0.7" right="0.7" top="0.75" bottom="0.75" header="0.511811023622047" footer="0.511811023622047"/>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4240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dc:description/>
  <cp:lastModifiedBy>Waqas Albert</cp:lastModifiedBy>
  <cp:revision>76</cp:revision>
  <dcterms:created xsi:type="dcterms:W3CDTF">2020-05-20T17:26:08Z</dcterms:created>
  <dcterms:modified xsi:type="dcterms:W3CDTF">2024-04-01T13:03:20Z</dcterms:modified>
  <dc:language>en-GB</dc:language>
</cp:coreProperties>
</file>